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шборд" sheetId="1" state="visible" r:id="rId1"/>
    <sheet xmlns:r="http://schemas.openxmlformats.org/officeDocument/2006/relationships" name="Журнал" sheetId="2" state="visible" r:id="rId2"/>
    <sheet xmlns:r="http://schemas.openxmlformats.org/officeDocument/2006/relationships" name="Рейтинг поставщиков" sheetId="3" state="visible" r:id="rId3"/>
    <sheet xmlns:r="http://schemas.openxmlformats.org/officeDocument/2006/relationships" name="Справочники" sheetId="4" state="visible" r:id="rId4"/>
    <sheet xmlns:r="http://schemas.openxmlformats.org/officeDocument/2006/relationships" name="Бланк журнала" sheetId="5" state="visible" r:id="rId5"/>
    <sheet xmlns:r="http://schemas.openxmlformats.org/officeDocument/2006/relationships" name="Акт о браке" sheetId="6" state="visible" r:id="rId6"/>
    <sheet xmlns:r="http://schemas.openxmlformats.org/officeDocument/2006/relationships" name="Полная версия" sheetId="7" state="visible" r:id="rId7"/>
  </sheets>
  <definedNames>
    <definedName name="_xlnm.Print_Area" localSheetId="0">'Дашборд'!$A$1:$N$31</definedName>
    <definedName name="_xlnm._FilterDatabase" localSheetId="1" hidden="1">'Журнал'!$A$5:$Q$505</definedName>
    <definedName name="_xlnm.Print_Titles" localSheetId="4">'Бланк журнала'!$4:$5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%"/>
    <numFmt numFmtId="166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2E75B6"/>
      <sz val="9"/>
    </font>
    <font>
      <name val="Arial"/>
      <b val="1"/>
      <color rgb="001F2937"/>
      <sz val="18"/>
    </font>
    <font>
      <name val="Arial"/>
      <color rgb="006B7280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color rgb="006B7280"/>
      <sz val="9"/>
    </font>
    <font>
      <name val="Arial"/>
      <sz val="9"/>
    </font>
    <font>
      <name val="Arial"/>
      <color rgb="006B7280"/>
      <sz val="8"/>
    </font>
    <font>
      <name val="Arial"/>
      <b val="1"/>
      <color rgb="006B7280"/>
      <sz val="9"/>
    </font>
    <font>
      <name val="Arial"/>
      <b val="1"/>
      <color rgb="001F4E79"/>
      <sz val="24"/>
    </font>
    <font>
      <name val="Arial"/>
      <b val="1"/>
      <color rgb="00C00000"/>
      <sz val="24"/>
    </font>
    <font>
      <name val="Arial"/>
      <b val="1"/>
      <color rgb="00BF9000"/>
      <sz val="24"/>
    </font>
    <font>
      <name val="Arial"/>
      <b val="1"/>
      <color rgb="001F2937"/>
      <sz val="12"/>
    </font>
    <font>
      <name val="Arial"/>
      <b val="1"/>
      <sz val="14"/>
    </font>
    <font>
      <name val="Arial"/>
      <b val="1"/>
      <color rgb="002E75B6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F3F6FA"/>
      </patternFill>
    </fill>
    <fill>
      <patternFill patternType="solid">
        <fgColor rgb="00EAF1F8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0" fillId="4" borderId="0" applyAlignment="1" pivotButton="0" quotePrefix="0" xfId="0">
      <alignment indent="1"/>
    </xf>
    <xf numFmtId="0" fontId="0" fillId="4" borderId="0" pivotButton="0" quotePrefix="0" xfId="0"/>
    <xf numFmtId="1" fontId="11" fillId="4" borderId="0" applyAlignment="1" pivotButton="0" quotePrefix="0" xfId="0">
      <alignment horizontal="left" indent="1"/>
    </xf>
    <xf numFmtId="1" fontId="12" fillId="4" borderId="0" applyAlignment="1" pivotButton="0" quotePrefix="0" xfId="0">
      <alignment horizontal="left" indent="1"/>
    </xf>
    <xf numFmtId="165" fontId="12" fillId="4" borderId="0" applyAlignment="1" pivotButton="0" quotePrefix="0" xfId="0">
      <alignment horizontal="left" indent="1"/>
    </xf>
    <xf numFmtId="1" fontId="13" fillId="4" borderId="0" applyAlignment="1" pivotButton="0" quotePrefix="0" xfId="0">
      <alignment horizontal="left" indent="1"/>
    </xf>
    <xf numFmtId="166" fontId="11" fillId="4" borderId="0" applyAlignment="1" pivotButton="0" quotePrefix="0" xfId="0">
      <alignment horizontal="left" indent="1"/>
    </xf>
    <xf numFmtId="0" fontId="9" fillId="4" borderId="0" applyAlignment="1" pivotButton="0" quotePrefix="0" xfId="0">
      <alignment indent="1"/>
    </xf>
    <xf numFmtId="0" fontId="14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8" fillId="0" borderId="1" pivotButton="0" quotePrefix="0" xfId="0"/>
    <xf numFmtId="9" fontId="8" fillId="0" borderId="1" pivotButton="0" quotePrefix="0" xfId="0"/>
    <xf numFmtId="0" fontId="8" fillId="0" borderId="1" applyAlignment="1" pivotButton="0" quotePrefix="0" xfId="0">
      <alignment vertical="top"/>
    </xf>
    <xf numFmtId="164" fontId="8" fillId="3" borderId="1" applyAlignment="1" pivotButton="0" quotePrefix="0" xfId="0">
      <alignment vertical="top"/>
    </xf>
    <xf numFmtId="0" fontId="8" fillId="3" borderId="1" applyAlignment="1" pivotButton="0" quotePrefix="0" xfId="0">
      <alignment vertical="top"/>
    </xf>
    <xf numFmtId="0" fontId="8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0" fontId="5" fillId="3" borderId="1" pivotButton="0" quotePrefix="0" xfId="0"/>
    <xf numFmtId="0" fontId="6" fillId="0" borderId="0" pivotButton="0" quotePrefix="0" xfId="0"/>
    <xf numFmtId="0" fontId="0" fillId="3" borderId="1" pivotButton="0" quotePrefix="0" xfId="0"/>
    <xf numFmtId="9" fontId="0" fillId="3" borderId="1" pivotButton="0" quotePrefix="0" xfId="0"/>
    <xf numFmtId="0" fontId="15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9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vertical="top" wrapText="1"/>
    </xf>
    <xf numFmtId="0" fontId="16" fillId="0" borderId="0" pivotButton="0" quotePrefix="0" xfId="0"/>
  </cellXfs>
  <cellStyles count="1">
    <cellStyle name="Normal" xfId="0" builtinId="0" hidden="0"/>
  </cellStyles>
  <dxfs count="6">
    <dxf>
      <font>
        <name val="Arial"/>
        <b val="1"/>
        <color rgb="009C0006"/>
      </font>
      <fill>
        <patternFill patternType="solid">
          <fgColor rgb="00FF7C80"/>
        </patternFill>
      </fill>
    </dxf>
    <dxf>
      <font>
        <name val="Arial"/>
        <b val="1"/>
      </font>
      <fill>
        <patternFill patternType="solid">
          <fgColor rgb="00FFE699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7C80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брака по поставщикам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'Рейтинг поставщиков'!E5</f>
            </strRef>
          </tx>
          <spPr>
            <a:solidFill xmlns:a="http://schemas.openxmlformats.org/drawingml/2006/main">
              <a:srgbClr val="FF7C80"/>
            </a:solidFill>
            <a:ln xmlns:a="http://schemas.openxmlformats.org/drawingml/2006/main">
              <a:prstDash val="solid"/>
            </a:ln>
          </spPr>
          <cat>
            <numRef>
              <f>'Рейтинг поставщиков'!$A$6:$A$13</f>
            </numRef>
          </cat>
          <val>
            <numRef>
              <f>'Рейтинг поставщиков'!$E$6:$E$13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Партий в месяц: всего и забраковано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'Дашборд'!C34</f>
            </strRef>
          </tx>
          <spPr>
            <a:solidFill xmlns:a="http://schemas.openxmlformats.org/drawingml/2006/main">
              <a:srgbClr val="9DC3E6"/>
            </a:solidFill>
            <a:ln xmlns:a="http://schemas.openxmlformats.org/drawingml/2006/main">
              <a:prstDash val="solid"/>
            </a:ln>
          </spPr>
          <cat>
            <numRef>
              <f>'Дашборд'!$B$35:$B$46</f>
            </numRef>
          </cat>
          <val>
            <numRef>
              <f>'Дашборд'!$C$35:$C$46</f>
            </numRef>
          </val>
        </ser>
        <ser>
          <idx val="1"/>
          <order val="1"/>
          <tx>
            <strRef>
              <f>'Дашборд'!D34</f>
            </strRef>
          </tx>
          <spPr>
            <a:solidFill xmlns:a="http://schemas.openxmlformats.org/drawingml/2006/main">
              <a:srgbClr val="C00000"/>
            </a:solidFill>
            <a:ln xmlns:a="http://schemas.openxmlformats.org/drawingml/2006/main">
              <a:prstDash val="solid"/>
            </a:ln>
          </spPr>
          <cat>
            <numRef>
              <f>'Дашборд'!$B$35:$B$46</f>
            </numRef>
          </cat>
          <val>
            <numRef>
              <f>'Дашборд'!$D$35:$D$46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9</row>
      <rowOff>0</rowOff>
    </from>
    <ext cx="45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9</row>
      <rowOff>0</rowOff>
    </from>
    <ext cx="45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plantperformance.ru/dokumenty/" TargetMode="External" Id="rId1"/></Relationships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B1:N4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</cols>
  <sheetData>
    <row r="1">
      <c r="B1" s="1" t="inlineStr">
        <is>
          <t>PLANT PERFORMANCE · plantperformance.ru</t>
        </is>
      </c>
    </row>
    <row r="2" ht="28" customHeight="1">
      <c r="B2" s="2" t="inlineStr">
        <is>
          <t>Входной контроль: сводка</t>
        </is>
      </c>
    </row>
    <row r="3">
      <c r="B3" s="3">
        <f>"Данные на "&amp;TEXT(TODAY(),"DD.MM.YYYY")&amp;" · обновляется из журнала"</f>
        <v/>
      </c>
    </row>
    <row r="5">
      <c r="B5" s="4" t="inlineStr">
        <is>
          <t>Партий проверено</t>
        </is>
      </c>
      <c r="C5" s="5" t="n"/>
      <c r="D5" s="4" t="inlineStr">
        <is>
          <t>Забраковано</t>
        </is>
      </c>
      <c r="E5" s="5" t="n"/>
      <c r="F5" s="4" t="inlineStr">
        <is>
          <t>% брака на входе</t>
        </is>
      </c>
      <c r="G5" s="5" t="n"/>
      <c r="H5" s="4" t="inlineStr">
        <is>
          <t>На карантине</t>
        </is>
      </c>
      <c r="I5" s="5" t="n"/>
      <c r="J5" s="4" t="inlineStr">
        <is>
          <t>Поставщиков «C»</t>
        </is>
      </c>
      <c r="K5" s="5" t="n"/>
      <c r="L5" s="4" t="inlineStr">
        <is>
          <t>Дней до решения</t>
        </is>
      </c>
      <c r="M5" s="5" t="n"/>
    </row>
    <row r="6" ht="36" customHeight="1">
      <c r="B6" s="6">
        <f>COUNT(Журнал!B6:B505)</f>
        <v/>
      </c>
      <c r="C6" s="5" t="n"/>
      <c r="D6" s="7">
        <f>COUNTIF(Журнал!L6:L505,"Забраковано")</f>
        <v/>
      </c>
      <c r="E6" s="5" t="n"/>
      <c r="F6" s="8">
        <f>IFERROR(D6/B6,0)</f>
        <v/>
      </c>
      <c r="G6" s="5" t="n"/>
      <c r="H6" s="9">
        <f>COUNTIF(Журнал!L6:L505,"Карантин")</f>
        <v/>
      </c>
      <c r="I6" s="5" t="n"/>
      <c r="J6" s="7">
        <f>COUNTIF('Рейтинг поставщиков'!G6:G35,"C")</f>
        <v/>
      </c>
      <c r="K6" s="5" t="n"/>
      <c r="L6" s="10">
        <f>IFERROR(AVERAGE(Журнал!P6:P505),0)</f>
        <v/>
      </c>
      <c r="M6" s="5" t="n"/>
    </row>
    <row r="7">
      <c r="B7" s="11" t="inlineStr">
        <is>
          <t>с начала учёта</t>
        </is>
      </c>
      <c r="C7" s="5" t="n"/>
      <c r="D7" s="11" t="inlineStr">
        <is>
          <t>партий</t>
        </is>
      </c>
      <c r="E7" s="5" t="n"/>
      <c r="F7" s="11" t="inlineStr">
        <is>
          <t>по числу партий</t>
        </is>
      </c>
      <c r="G7" s="5" t="n"/>
      <c r="H7" s="11" t="inlineStr">
        <is>
          <t>ждут решения</t>
        </is>
      </c>
      <c r="I7" s="5" t="n"/>
      <c r="J7" s="11" t="inlineStr">
        <is>
          <t>нужна претензия</t>
        </is>
      </c>
      <c r="K7" s="5" t="n"/>
      <c r="L7" s="11" t="inlineStr">
        <is>
          <t>в среднем</t>
        </is>
      </c>
      <c r="M7" s="5" t="n"/>
    </row>
    <row r="27">
      <c r="B27" s="12" t="inlineStr">
        <is>
          <t>Как пользоваться</t>
        </is>
      </c>
    </row>
    <row r="28">
      <c r="B28" s="13" t="inlineStr">
        <is>
          <t>1. «Справочники»: материалы с категорией и тем, что проверять, и список поставщиков.</t>
        </is>
      </c>
    </row>
    <row r="29">
      <c r="B29" s="13" t="inlineStr">
        <is>
          <t>2. «Журнал»: каждая поступившая партия — строка. Подсказка «что проверить» подставится сама; выберите решение.</t>
        </is>
      </c>
    </row>
    <row r="30">
      <c r="B30" s="13" t="inlineStr">
        <is>
          <t>3. «Рейтинг поставщиков» и этот дашборд считаются автоматически. Красное — повод для претензии.</t>
        </is>
      </c>
    </row>
    <row r="31">
      <c r="B31" s="13" t="inlineStr">
        <is>
          <t>4. Для печати — лист «Бланк журнала», при браке — «Акт о браке». Полная система качества завода: plantperformance.ru</t>
        </is>
      </c>
    </row>
    <row r="33">
      <c r="B33" s="14" t="inlineStr">
        <is>
          <t>Данные для диаграмм</t>
        </is>
      </c>
    </row>
    <row r="34">
      <c r="B34" s="15" t="inlineStr">
        <is>
          <t>Месяц</t>
        </is>
      </c>
      <c r="C34" s="15" t="inlineStr">
        <is>
          <t>Партий</t>
        </is>
      </c>
      <c r="D34" s="15" t="inlineStr">
        <is>
          <t>Забраковано</t>
        </is>
      </c>
      <c r="E34" s="15" t="inlineStr">
        <is>
          <t>% брака</t>
        </is>
      </c>
    </row>
    <row r="35">
      <c r="B35" s="16" t="inlineStr">
        <is>
          <t>Янв</t>
        </is>
      </c>
      <c r="C35" s="16">
        <f>COUNTIFS(Журнал!$B$6:$B$505,"&gt;="&amp;DATE(YEAR(TODAY()),1,1),Журнал!$B$6:$B$505,"&lt;="&amp;EOMONTH(DATE(YEAR(TODAY()),1,1),0))</f>
        <v/>
      </c>
      <c r="D35" s="16">
        <f>COUNTIFS(Журнал!$B$6:$B$505,"&gt;="&amp;DATE(YEAR(TODAY()),1,1),Журнал!$B$6:$B$505,"&lt;="&amp;EOMONTH(DATE(YEAR(TODAY()),1,1),0),Журнал!$L$6:$L$505,"Забраковано")</f>
        <v/>
      </c>
      <c r="E35" s="17">
        <f>IF(C35=0,NA(),D35/C35)</f>
        <v/>
      </c>
    </row>
    <row r="36">
      <c r="B36" s="16" t="inlineStr">
        <is>
          <t>Фев</t>
        </is>
      </c>
      <c r="C36" s="16">
        <f>COUNTIFS(Журнал!$B$6:$B$505,"&gt;="&amp;DATE(YEAR(TODAY()),2,1),Журнал!$B$6:$B$505,"&lt;="&amp;EOMONTH(DATE(YEAR(TODAY()),2,1),0))</f>
        <v/>
      </c>
      <c r="D36" s="16">
        <f>COUNTIFS(Журнал!$B$6:$B$505,"&gt;="&amp;DATE(YEAR(TODAY()),2,1),Журнал!$B$6:$B$505,"&lt;="&amp;EOMONTH(DATE(YEAR(TODAY()),2,1),0),Журнал!$L$6:$L$505,"Забраковано")</f>
        <v/>
      </c>
      <c r="E36" s="17">
        <f>IF(C36=0,NA(),D36/C36)</f>
        <v/>
      </c>
    </row>
    <row r="37">
      <c r="B37" s="16" t="inlineStr">
        <is>
          <t>Мар</t>
        </is>
      </c>
      <c r="C37" s="16">
        <f>COUNTIFS(Журнал!$B$6:$B$505,"&gt;="&amp;DATE(YEAR(TODAY()),3,1),Журнал!$B$6:$B$505,"&lt;="&amp;EOMONTH(DATE(YEAR(TODAY()),3,1),0))</f>
        <v/>
      </c>
      <c r="D37" s="16">
        <f>COUNTIFS(Журнал!$B$6:$B$505,"&gt;="&amp;DATE(YEAR(TODAY()),3,1),Журнал!$B$6:$B$505,"&lt;="&amp;EOMONTH(DATE(YEAR(TODAY()),3,1),0),Журнал!$L$6:$L$505,"Забраковано")</f>
        <v/>
      </c>
      <c r="E37" s="17">
        <f>IF(C37=0,NA(),D37/C37)</f>
        <v/>
      </c>
    </row>
    <row r="38">
      <c r="B38" s="16" t="inlineStr">
        <is>
          <t>Апр</t>
        </is>
      </c>
      <c r="C38" s="16">
        <f>COUNTIFS(Журнал!$B$6:$B$505,"&gt;="&amp;DATE(YEAR(TODAY()),4,1),Журнал!$B$6:$B$505,"&lt;="&amp;EOMONTH(DATE(YEAR(TODAY()),4,1),0))</f>
        <v/>
      </c>
      <c r="D38" s="16">
        <f>COUNTIFS(Журнал!$B$6:$B$505,"&gt;="&amp;DATE(YEAR(TODAY()),4,1),Журнал!$B$6:$B$505,"&lt;="&amp;EOMONTH(DATE(YEAR(TODAY()),4,1),0),Журнал!$L$6:$L$505,"Забраковано")</f>
        <v/>
      </c>
      <c r="E38" s="17">
        <f>IF(C38=0,NA(),D38/C38)</f>
        <v/>
      </c>
    </row>
    <row r="39">
      <c r="B39" s="16" t="inlineStr">
        <is>
          <t>Май</t>
        </is>
      </c>
      <c r="C39" s="16">
        <f>COUNTIFS(Журнал!$B$6:$B$505,"&gt;="&amp;DATE(YEAR(TODAY()),5,1),Журнал!$B$6:$B$505,"&lt;="&amp;EOMONTH(DATE(YEAR(TODAY()),5,1),0))</f>
        <v/>
      </c>
      <c r="D39" s="16">
        <f>COUNTIFS(Журнал!$B$6:$B$505,"&gt;="&amp;DATE(YEAR(TODAY()),5,1),Журнал!$B$6:$B$505,"&lt;="&amp;EOMONTH(DATE(YEAR(TODAY()),5,1),0),Журнал!$L$6:$L$505,"Забраковано")</f>
        <v/>
      </c>
      <c r="E39" s="17">
        <f>IF(C39=0,NA(),D39/C39)</f>
        <v/>
      </c>
    </row>
    <row r="40">
      <c r="B40" s="16" t="inlineStr">
        <is>
          <t>Июн</t>
        </is>
      </c>
      <c r="C40" s="16">
        <f>COUNTIFS(Журнал!$B$6:$B$505,"&gt;="&amp;DATE(YEAR(TODAY()),6,1),Журнал!$B$6:$B$505,"&lt;="&amp;EOMONTH(DATE(YEAR(TODAY()),6,1),0))</f>
        <v/>
      </c>
      <c r="D40" s="16">
        <f>COUNTIFS(Журнал!$B$6:$B$505,"&gt;="&amp;DATE(YEAR(TODAY()),6,1),Журнал!$B$6:$B$505,"&lt;="&amp;EOMONTH(DATE(YEAR(TODAY()),6,1),0),Журнал!$L$6:$L$505,"Забраковано")</f>
        <v/>
      </c>
      <c r="E40" s="17">
        <f>IF(C40=0,NA(),D40/C40)</f>
        <v/>
      </c>
    </row>
    <row r="41">
      <c r="B41" s="16" t="inlineStr">
        <is>
          <t>Июл</t>
        </is>
      </c>
      <c r="C41" s="16">
        <f>COUNTIFS(Журнал!$B$6:$B$505,"&gt;="&amp;DATE(YEAR(TODAY()),7,1),Журнал!$B$6:$B$505,"&lt;="&amp;EOMONTH(DATE(YEAR(TODAY()),7,1),0))</f>
        <v/>
      </c>
      <c r="D41" s="16">
        <f>COUNTIFS(Журнал!$B$6:$B$505,"&gt;="&amp;DATE(YEAR(TODAY()),7,1),Журнал!$B$6:$B$505,"&lt;="&amp;EOMONTH(DATE(YEAR(TODAY()),7,1),0),Журнал!$L$6:$L$505,"Забраковано")</f>
        <v/>
      </c>
      <c r="E41" s="17">
        <f>IF(C41=0,NA(),D41/C41)</f>
        <v/>
      </c>
    </row>
    <row r="42">
      <c r="B42" s="16" t="inlineStr">
        <is>
          <t>Авг</t>
        </is>
      </c>
      <c r="C42" s="16">
        <f>COUNTIFS(Журнал!$B$6:$B$505,"&gt;="&amp;DATE(YEAR(TODAY()),8,1),Журнал!$B$6:$B$505,"&lt;="&amp;EOMONTH(DATE(YEAR(TODAY()),8,1),0))</f>
        <v/>
      </c>
      <c r="D42" s="16">
        <f>COUNTIFS(Журнал!$B$6:$B$505,"&gt;="&amp;DATE(YEAR(TODAY()),8,1),Журнал!$B$6:$B$505,"&lt;="&amp;EOMONTH(DATE(YEAR(TODAY()),8,1),0),Журнал!$L$6:$L$505,"Забраковано")</f>
        <v/>
      </c>
      <c r="E42" s="17">
        <f>IF(C42=0,NA(),D42/C42)</f>
        <v/>
      </c>
    </row>
    <row r="43">
      <c r="B43" s="16" t="inlineStr">
        <is>
          <t>Сен</t>
        </is>
      </c>
      <c r="C43" s="16">
        <f>COUNTIFS(Журнал!$B$6:$B$505,"&gt;="&amp;DATE(YEAR(TODAY()),9,1),Журнал!$B$6:$B$505,"&lt;="&amp;EOMONTH(DATE(YEAR(TODAY()),9,1),0))</f>
        <v/>
      </c>
      <c r="D43" s="16">
        <f>COUNTIFS(Журнал!$B$6:$B$505,"&gt;="&amp;DATE(YEAR(TODAY()),9,1),Журнал!$B$6:$B$505,"&lt;="&amp;EOMONTH(DATE(YEAR(TODAY()),9,1),0),Журнал!$L$6:$L$505,"Забраковано")</f>
        <v/>
      </c>
      <c r="E43" s="17">
        <f>IF(C43=0,NA(),D43/C43)</f>
        <v/>
      </c>
    </row>
    <row r="44">
      <c r="B44" s="16" t="inlineStr">
        <is>
          <t>Окт</t>
        </is>
      </c>
      <c r="C44" s="16">
        <f>COUNTIFS(Журнал!$B$6:$B$505,"&gt;="&amp;DATE(YEAR(TODAY()),10,1),Журнал!$B$6:$B$505,"&lt;="&amp;EOMONTH(DATE(YEAR(TODAY()),10,1),0))</f>
        <v/>
      </c>
      <c r="D44" s="16">
        <f>COUNTIFS(Журнал!$B$6:$B$505,"&gt;="&amp;DATE(YEAR(TODAY()),10,1),Журнал!$B$6:$B$505,"&lt;="&amp;EOMONTH(DATE(YEAR(TODAY()),10,1),0),Журнал!$L$6:$L$505,"Забраковано")</f>
        <v/>
      </c>
      <c r="E44" s="17">
        <f>IF(C44=0,NA(),D44/C44)</f>
        <v/>
      </c>
    </row>
    <row r="45">
      <c r="B45" s="16" t="inlineStr">
        <is>
          <t>Ноя</t>
        </is>
      </c>
      <c r="C45" s="16">
        <f>COUNTIFS(Журнал!$B$6:$B$505,"&gt;="&amp;DATE(YEAR(TODAY()),11,1),Журнал!$B$6:$B$505,"&lt;="&amp;EOMONTH(DATE(YEAR(TODAY()),11,1),0))</f>
        <v/>
      </c>
      <c r="D45" s="16">
        <f>COUNTIFS(Журнал!$B$6:$B$505,"&gt;="&amp;DATE(YEAR(TODAY()),11,1),Журнал!$B$6:$B$505,"&lt;="&amp;EOMONTH(DATE(YEAR(TODAY()),11,1),0),Журнал!$L$6:$L$505,"Забраковано")</f>
        <v/>
      </c>
      <c r="E45" s="17">
        <f>IF(C45=0,NA(),D45/C45)</f>
        <v/>
      </c>
    </row>
    <row r="46">
      <c r="B46" s="16" t="inlineStr">
        <is>
          <t>Дек</t>
        </is>
      </c>
      <c r="C46" s="16">
        <f>COUNTIFS(Журнал!$B$6:$B$505,"&gt;="&amp;DATE(YEAR(TODAY()),12,1),Журнал!$B$6:$B$505,"&lt;="&amp;EOMONTH(DATE(YEAR(TODAY()),12,1),0))</f>
        <v/>
      </c>
      <c r="D46" s="16">
        <f>COUNTIFS(Журнал!$B$6:$B$505,"&gt;="&amp;DATE(YEAR(TODAY()),12,1),Журнал!$B$6:$B$505,"&lt;="&amp;EOMONTH(DATE(YEAR(TODAY()),12,1),0),Журнал!$L$6:$L$505,"Забраковано")</f>
        <v/>
      </c>
      <c r="E46" s="17">
        <f>IF(C46=0,NA(),D46/C46)</f>
        <v/>
      </c>
    </row>
  </sheetData>
  <mergeCells count="22">
    <mergeCell ref="L7:M7"/>
    <mergeCell ref="B7:C7"/>
    <mergeCell ref="J5:K5"/>
    <mergeCell ref="F6:G6"/>
    <mergeCell ref="B30:N30"/>
    <mergeCell ref="F7:G7"/>
    <mergeCell ref="D6:E6"/>
    <mergeCell ref="H6:I6"/>
    <mergeCell ref="J6:K6"/>
    <mergeCell ref="F5:G5"/>
    <mergeCell ref="L5:M5"/>
    <mergeCell ref="D7:E7"/>
    <mergeCell ref="B31:N31"/>
    <mergeCell ref="H7:I7"/>
    <mergeCell ref="J7:K7"/>
    <mergeCell ref="B6:C6"/>
    <mergeCell ref="L6:M6"/>
    <mergeCell ref="B5:C5"/>
    <mergeCell ref="D5:E5"/>
    <mergeCell ref="H5:I5"/>
    <mergeCell ref="B29:N29"/>
    <mergeCell ref="B28:N28"/>
  </mergeCells>
  <pageMargins left="0.75" right="0.75" top="1" bottom="1" header="0.5" footer="0.5"/>
  <pageSetup orientation="landscape" fitToHeight="1" fitToWidth="1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/>
  </sheetPr>
  <dimension ref="A1:Q505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7" customWidth="1" min="3" max="3"/>
    <col width="26" customWidth="1" min="4" max="4"/>
    <col width="22" customWidth="1" min="5" max="5"/>
    <col width="18" customWidth="1" min="6" max="6"/>
    <col width="11" customWidth="1" min="7" max="7"/>
    <col width="8" customWidth="1" min="8" max="8"/>
    <col width="5" customWidth="1" min="9" max="9"/>
    <col width="34" customWidth="1" min="10" max="10"/>
    <col width="26" customWidth="1" min="11" max="11"/>
    <col width="14" customWidth="1" min="12" max="12"/>
    <col width="11" customWidth="1" min="13" max="13"/>
    <col width="14" customWidth="1" min="14" max="14"/>
    <col width="18" customWidth="1" min="15" max="15"/>
    <col width="8" customWidth="1" min="16" max="16"/>
    <col width="5" customWidth="1" min="17" max="17"/>
  </cols>
  <sheetData>
    <row r="1">
      <c r="A1" s="1" t="inlineStr">
        <is>
          <t>PLANT PERFORMANCE · plantperformance.ru</t>
        </is>
      </c>
    </row>
    <row r="2" ht="28" customHeight="1">
      <c r="A2" s="2" t="inlineStr">
        <is>
          <t>Журнал входного контроля материалов</t>
        </is>
      </c>
    </row>
    <row r="3">
      <c r="A3" s="3" t="inlineStr">
        <is>
          <t>Одна строка — одна партия. Ввод в жёлтые ячейки, остальное заполнится само. Форма по ГОСТ 24297-2013 «Верификация закупленной продукции».</t>
        </is>
      </c>
    </row>
    <row r="5" ht="42" customHeight="1">
      <c r="A5" s="15" t="inlineStr">
        <is>
          <t>№</t>
        </is>
      </c>
      <c r="B5" s="15" t="inlineStr">
        <is>
          <t>Дата поступления</t>
        </is>
      </c>
      <c r="C5" s="15" t="inlineStr">
        <is>
          <t>Код</t>
        </is>
      </c>
      <c r="D5" s="15" t="inlineStr">
        <is>
          <t>Материал / изделие</t>
        </is>
      </c>
      <c r="E5" s="15" t="inlineStr">
        <is>
          <t>Поставщик</t>
        </is>
      </c>
      <c r="F5" s="15" t="inlineStr">
        <is>
          <t>Документ о качестве (№, дата)</t>
        </is>
      </c>
      <c r="G5" s="15" t="inlineStr">
        <is>
          <t>№ партии</t>
        </is>
      </c>
      <c r="H5" s="15" t="inlineStr">
        <is>
          <t>Кол-во</t>
        </is>
      </c>
      <c r="I5" s="15" t="inlineStr">
        <is>
          <t>Ед.</t>
        </is>
      </c>
      <c r="J5" s="15" t="inlineStr">
        <is>
          <t>Что проверить</t>
        </is>
      </c>
      <c r="K5" s="15" t="inlineStr">
        <is>
          <t>Результат проверки (факт)</t>
        </is>
      </c>
      <c r="L5" s="15" t="inlineStr">
        <is>
          <t>Решение</t>
        </is>
      </c>
      <c r="M5" s="15" t="inlineStr">
        <is>
          <t>Дата решения</t>
        </is>
      </c>
      <c r="N5" s="15" t="inlineStr">
        <is>
          <t>Контролёр</t>
        </is>
      </c>
      <c r="O5" s="15" t="inlineStr">
        <is>
          <t>Акт / примечание</t>
        </is>
      </c>
      <c r="P5" s="15" t="inlineStr">
        <is>
          <t>Дней до решения</t>
        </is>
      </c>
      <c r="Q5" s="15" t="inlineStr">
        <is>
          <t>Кат.</t>
        </is>
      </c>
    </row>
    <row r="6">
      <c r="A6" s="18">
        <f>IF(B6="","",ROW()-5)</f>
        <v/>
      </c>
      <c r="B6" s="19" t="n">
        <v>46031</v>
      </c>
      <c r="C6" s="20" t="inlineStr">
        <is>
          <t>М-06</t>
        </is>
      </c>
      <c r="D6" s="21">
        <f>IF(C6="","",IFERROR(INDEX(Справочники!$B$6:$B$45,MATCH(C6,Справочники!$A$6:$A$45,0)),"нет в справочнике"))</f>
        <v/>
      </c>
      <c r="E6" s="20" t="inlineStr">
        <is>
          <t>ООО «ЭлектроМаш»</t>
        </is>
      </c>
      <c r="F6" s="20" t="inlineStr">
        <is>
          <t>С-5039 от 09.01</t>
        </is>
      </c>
      <c r="G6" s="20" t="inlineStr">
        <is>
          <t>П489</t>
        </is>
      </c>
      <c r="H6" s="20" t="n">
        <v>50</v>
      </c>
      <c r="I6" s="18">
        <f>IF(C6="","",IFERROR(INDEX(Справочники!$C$6:$C$45,MATCH(C6,Справочники!$A$6:$A$45,0)),""))</f>
        <v/>
      </c>
      <c r="J6" s="22">
        <f>IF(C6="","",IFERROR(INDEX(Справочники!$E$6:$E$45,MATCH(C6,Справочники!$A$6:$A$45,0)),""))</f>
        <v/>
      </c>
      <c r="K6" s="23" t="inlineStr">
        <is>
          <t>Соответствует</t>
        </is>
      </c>
      <c r="L6" s="20" t="inlineStr">
        <is>
          <t>Принято</t>
        </is>
      </c>
      <c r="M6" s="19" t="n">
        <v>46031</v>
      </c>
      <c r="N6" s="20" t="inlineStr">
        <is>
          <t>Орлова Т.</t>
        </is>
      </c>
      <c r="O6" s="23" t="inlineStr"/>
      <c r="P6" s="18">
        <f>IF(B6="","",IF(M6="",IF(L6="Карантин",INT(TODAY())-B6,""),M6-B6))</f>
        <v/>
      </c>
      <c r="Q6" s="18">
        <f>IF(C6="","",IFERROR(INDEX(Справочники!$D$6:$D$45,MATCH(C6,Справочники!$A$6:$A$45,0)),""))</f>
        <v/>
      </c>
    </row>
    <row r="7">
      <c r="A7" s="18">
        <f>IF(B7="","",ROW()-5)</f>
        <v/>
      </c>
      <c r="B7" s="19" t="n">
        <v>46032</v>
      </c>
      <c r="C7" s="20" t="inlineStr">
        <is>
          <t>М-01</t>
        </is>
      </c>
      <c r="D7" s="21">
        <f>IF(C7="","",IFERROR(INDEX(Справочники!$B$6:$B$45,MATCH(C7,Справочники!$A$6:$A$45,0)),"нет в справочнике"))</f>
        <v/>
      </c>
      <c r="E7" s="20" t="inlineStr">
        <is>
          <t>ООО «Металл-Сервис»</t>
        </is>
      </c>
      <c r="F7" s="20" t="inlineStr">
        <is>
          <t>С-8288 от 10.01</t>
        </is>
      </c>
      <c r="G7" s="20" t="inlineStr">
        <is>
          <t>П229</t>
        </is>
      </c>
      <c r="H7" s="20" t="n">
        <v>18.5</v>
      </c>
      <c r="I7" s="18">
        <f>IF(C7="","",IFERROR(INDEX(Справочники!$C$6:$C$45,MATCH(C7,Справочники!$A$6:$A$45,0)),""))</f>
        <v/>
      </c>
      <c r="J7" s="22">
        <f>IF(C7="","",IFERROR(INDEX(Справочники!$E$6:$E$45,MATCH(C7,Справочники!$A$6:$A$45,0)),""))</f>
        <v/>
      </c>
      <c r="K7" s="23" t="inlineStr">
        <is>
          <t>Соответствует</t>
        </is>
      </c>
      <c r="L7" s="20" t="inlineStr">
        <is>
          <t>Принято</t>
        </is>
      </c>
      <c r="M7" s="19" t="n">
        <v>46032</v>
      </c>
      <c r="N7" s="20" t="inlineStr">
        <is>
          <t>Иванова Е.</t>
        </is>
      </c>
      <c r="O7" s="23" t="inlineStr"/>
      <c r="P7" s="18">
        <f>IF(B7="","",IF(M7="",IF(L7="Карантин",INT(TODAY())-B7,""),M7-B7))</f>
        <v/>
      </c>
      <c r="Q7" s="18">
        <f>IF(C7="","",IFERROR(INDEX(Справочники!$D$6:$D$45,MATCH(C7,Справочники!$A$6:$A$45,0)),""))</f>
        <v/>
      </c>
    </row>
    <row r="8">
      <c r="A8" s="18">
        <f>IF(B8="","",ROW()-5)</f>
        <v/>
      </c>
      <c r="B8" s="19" t="n">
        <v>46034</v>
      </c>
      <c r="C8" s="20" t="inlineStr">
        <is>
          <t>М-03</t>
        </is>
      </c>
      <c r="D8" s="21">
        <f>IF(C8="","",IFERROR(INDEX(Справочники!$B$6:$B$45,MATCH(C8,Справочники!$A$6:$A$45,0)),"нет в справочнике"))</f>
        <v/>
      </c>
      <c r="E8" s="20" t="inlineStr">
        <is>
          <t>ООО «СварТехСнаб»</t>
        </is>
      </c>
      <c r="F8" s="20" t="inlineStr">
        <is>
          <t>С-7278 от 12.01</t>
        </is>
      </c>
      <c r="G8" s="20" t="inlineStr">
        <is>
          <t>П405</t>
        </is>
      </c>
      <c r="H8" s="20" t="n">
        <v>1000</v>
      </c>
      <c r="I8" s="18">
        <f>IF(C8="","",IFERROR(INDEX(Справочники!$C$6:$C$45,MATCH(C8,Справочники!$A$6:$A$45,0)),""))</f>
        <v/>
      </c>
      <c r="J8" s="22">
        <f>IF(C8="","",IFERROR(INDEX(Справочники!$E$6:$E$45,MATCH(C8,Справочники!$A$6:$A$45,0)),""))</f>
        <v/>
      </c>
      <c r="K8" s="23" t="inlineStr">
        <is>
          <t>Соответствует</t>
        </is>
      </c>
      <c r="L8" s="20" t="inlineStr">
        <is>
          <t>Принято</t>
        </is>
      </c>
      <c r="M8" s="19" t="n">
        <v>46034</v>
      </c>
      <c r="N8" s="20" t="inlineStr">
        <is>
          <t>Иванова Е.</t>
        </is>
      </c>
      <c r="O8" s="23" t="inlineStr"/>
      <c r="P8" s="18">
        <f>IF(B8="","",IF(M8="",IF(L8="Карантин",INT(TODAY())-B8,""),M8-B8))</f>
        <v/>
      </c>
      <c r="Q8" s="18">
        <f>IF(C8="","",IFERROR(INDEX(Справочники!$D$6:$D$45,MATCH(C8,Справочники!$A$6:$A$45,0)),""))</f>
        <v/>
      </c>
    </row>
    <row r="9">
      <c r="A9" s="18">
        <f>IF(B9="","",ROW()-5)</f>
        <v/>
      </c>
      <c r="B9" s="19" t="n">
        <v>46036</v>
      </c>
      <c r="C9" s="20" t="inlineStr">
        <is>
          <t>М-03</t>
        </is>
      </c>
      <c r="D9" s="21">
        <f>IF(C9="","",IFERROR(INDEX(Справочники!$B$6:$B$45,MATCH(C9,Справочники!$A$6:$A$45,0)),"нет в справочнике"))</f>
        <v/>
      </c>
      <c r="E9" s="20" t="inlineStr">
        <is>
          <t>ООО «СварТехСнаб»</t>
        </is>
      </c>
      <c r="F9" s="20" t="inlineStr">
        <is>
          <t>С-2081 от 14.01</t>
        </is>
      </c>
      <c r="G9" s="20" t="inlineStr">
        <is>
          <t>П417</t>
        </is>
      </c>
      <c r="H9" s="20" t="n">
        <v>1000</v>
      </c>
      <c r="I9" s="18">
        <f>IF(C9="","",IFERROR(INDEX(Справочники!$C$6:$C$45,MATCH(C9,Справочники!$A$6:$A$45,0)),""))</f>
        <v/>
      </c>
      <c r="J9" s="22">
        <f>IF(C9="","",IFERROR(INDEX(Справочники!$E$6:$E$45,MATCH(C9,Справочники!$A$6:$A$45,0)),""))</f>
        <v/>
      </c>
      <c r="K9" s="23" t="inlineStr">
        <is>
          <t>Соответствует</t>
        </is>
      </c>
      <c r="L9" s="20" t="inlineStr">
        <is>
          <t>Принято</t>
        </is>
      </c>
      <c r="M9" s="19" t="n">
        <v>46037</v>
      </c>
      <c r="N9" s="20" t="inlineStr">
        <is>
          <t>Смирнов К.</t>
        </is>
      </c>
      <c r="O9" s="23" t="inlineStr"/>
      <c r="P9" s="18">
        <f>IF(B9="","",IF(M9="",IF(L9="Карантин",INT(TODAY())-B9,""),M9-B9))</f>
        <v/>
      </c>
      <c r="Q9" s="18">
        <f>IF(C9="","",IFERROR(INDEX(Справочники!$D$6:$D$45,MATCH(C9,Справочники!$A$6:$A$45,0)),""))</f>
        <v/>
      </c>
    </row>
    <row r="10">
      <c r="A10" s="18">
        <f>IF(B10="","",ROW()-5)</f>
        <v/>
      </c>
      <c r="B10" s="19" t="n">
        <v>46036</v>
      </c>
      <c r="C10" s="20" t="inlineStr">
        <is>
          <t>М-05</t>
        </is>
      </c>
      <c r="D10" s="21">
        <f>IF(C10="","",IFERROR(INDEX(Справочники!$B$6:$B$45,MATCH(C10,Справочники!$A$6:$A$45,0)),"нет в справочнике"))</f>
        <v/>
      </c>
      <c r="E10" s="20" t="inlineStr">
        <is>
          <t>ООО «Крепёж-Опт»</t>
        </is>
      </c>
      <c r="F10" s="20" t="inlineStr">
        <is>
          <t>С-1374 от 14.01</t>
        </is>
      </c>
      <c r="G10" s="20" t="inlineStr">
        <is>
          <t>П867</t>
        </is>
      </c>
      <c r="H10" s="20" t="n">
        <v>100</v>
      </c>
      <c r="I10" s="18">
        <f>IF(C10="","",IFERROR(INDEX(Справочники!$C$6:$C$45,MATCH(C10,Справочники!$A$6:$A$45,0)),""))</f>
        <v/>
      </c>
      <c r="J10" s="22">
        <f>IF(C10="","",IFERROR(INDEX(Справочники!$E$6:$E$45,MATCH(C10,Справочники!$A$6:$A$45,0)),""))</f>
        <v/>
      </c>
      <c r="K10" s="23" t="inlineStr">
        <is>
          <t>Соответствует</t>
        </is>
      </c>
      <c r="L10" s="20" t="inlineStr">
        <is>
          <t>Принято</t>
        </is>
      </c>
      <c r="M10" s="19" t="n">
        <v>46036</v>
      </c>
      <c r="N10" s="20" t="inlineStr">
        <is>
          <t>Смирнов К.</t>
        </is>
      </c>
      <c r="O10" s="23" t="inlineStr"/>
      <c r="P10" s="18">
        <f>IF(B10="","",IF(M10="",IF(L10="Карантин",INT(TODAY())-B10,""),M10-B10))</f>
        <v/>
      </c>
      <c r="Q10" s="18">
        <f>IF(C10="","",IFERROR(INDEX(Справочники!$D$6:$D$45,MATCH(C10,Справочники!$A$6:$A$45,0)),""))</f>
        <v/>
      </c>
    </row>
    <row r="11">
      <c r="A11" s="18">
        <f>IF(B11="","",ROW()-5)</f>
        <v/>
      </c>
      <c r="B11" s="19" t="n">
        <v>46041</v>
      </c>
      <c r="C11" s="20" t="inlineStr">
        <is>
          <t>М-06</t>
        </is>
      </c>
      <c r="D11" s="21">
        <f>IF(C11="","",IFERROR(INDEX(Справочники!$B$6:$B$45,MATCH(C11,Справочники!$A$6:$A$45,0)),"нет в справочнике"))</f>
        <v/>
      </c>
      <c r="E11" s="20" t="inlineStr">
        <is>
          <t>ООО «ЭлектроМаш»</t>
        </is>
      </c>
      <c r="F11" s="20" t="inlineStr">
        <is>
          <t>С-2950 от 19.01</t>
        </is>
      </c>
      <c r="G11" s="20" t="inlineStr">
        <is>
          <t>П873</t>
        </is>
      </c>
      <c r="H11" s="20" t="n">
        <v>100</v>
      </c>
      <c r="I11" s="18">
        <f>IF(C11="","",IFERROR(INDEX(Справочники!$C$6:$C$45,MATCH(C11,Справочники!$A$6:$A$45,0)),""))</f>
        <v/>
      </c>
      <c r="J11" s="22">
        <f>IF(C11="","",IFERROR(INDEX(Справочники!$E$6:$E$45,MATCH(C11,Справочники!$A$6:$A$45,0)),""))</f>
        <v/>
      </c>
      <c r="K11" s="23" t="inlineStr">
        <is>
          <t>Соответствует</t>
        </is>
      </c>
      <c r="L11" s="20" t="inlineStr">
        <is>
          <t>Принято</t>
        </is>
      </c>
      <c r="M11" s="19" t="n">
        <v>46041</v>
      </c>
      <c r="N11" s="20" t="inlineStr">
        <is>
          <t>Иванова Е.</t>
        </is>
      </c>
      <c r="O11" s="23" t="inlineStr"/>
      <c r="P11" s="18">
        <f>IF(B11="","",IF(M11="",IF(L11="Карантин",INT(TODAY())-B11,""),M11-B11))</f>
        <v/>
      </c>
      <c r="Q11" s="18">
        <f>IF(C11="","",IFERROR(INDEX(Справочники!$D$6:$D$45,MATCH(C11,Справочники!$A$6:$A$45,0)),""))</f>
        <v/>
      </c>
    </row>
    <row r="12">
      <c r="A12" s="18">
        <f>IF(B12="","",ROW()-5)</f>
        <v/>
      </c>
      <c r="B12" s="19" t="n">
        <v>46041</v>
      </c>
      <c r="C12" s="20" t="inlineStr">
        <is>
          <t>М-08</t>
        </is>
      </c>
      <c r="D12" s="21">
        <f>IF(C12="","",IFERROR(INDEX(Справочники!$B$6:$B$45,MATCH(C12,Справочники!$A$6:$A$45,0)),"нет в справочнике"))</f>
        <v/>
      </c>
      <c r="E12" s="20" t="inlineStr">
        <is>
          <t>ООО «КабельТорг»</t>
        </is>
      </c>
      <c r="F12" s="20" t="inlineStr">
        <is>
          <t>С-5847 от 19.01</t>
        </is>
      </c>
      <c r="G12" s="20" t="inlineStr">
        <is>
          <t>П137</t>
        </is>
      </c>
      <c r="H12" s="20" t="n">
        <v>2000</v>
      </c>
      <c r="I12" s="18">
        <f>IF(C12="","",IFERROR(INDEX(Справочники!$C$6:$C$45,MATCH(C12,Справочники!$A$6:$A$45,0)),""))</f>
        <v/>
      </c>
      <c r="J12" s="22">
        <f>IF(C12="","",IFERROR(INDEX(Справочники!$E$6:$E$45,MATCH(C12,Справочники!$A$6:$A$45,0)),""))</f>
        <v/>
      </c>
      <c r="K12" s="23" t="inlineStr">
        <is>
          <t>Соответствует</t>
        </is>
      </c>
      <c r="L12" s="20" t="inlineStr">
        <is>
          <t>Принято</t>
        </is>
      </c>
      <c r="M12" s="19" t="n">
        <v>46043</v>
      </c>
      <c r="N12" s="20" t="inlineStr">
        <is>
          <t>Смирнов К.</t>
        </is>
      </c>
      <c r="O12" s="23" t="inlineStr"/>
      <c r="P12" s="18">
        <f>IF(B12="","",IF(M12="",IF(L12="Карантин",INT(TODAY())-B12,""),M12-B12))</f>
        <v/>
      </c>
      <c r="Q12" s="18">
        <f>IF(C12="","",IFERROR(INDEX(Справочники!$D$6:$D$45,MATCH(C12,Справочники!$A$6:$A$45,0)),""))</f>
        <v/>
      </c>
    </row>
    <row r="13">
      <c r="A13" s="18">
        <f>IF(B13="","",ROW()-5)</f>
        <v/>
      </c>
      <c r="B13" s="19" t="n">
        <v>46042</v>
      </c>
      <c r="C13" s="20" t="inlineStr">
        <is>
          <t>М-06</t>
        </is>
      </c>
      <c r="D13" s="21">
        <f>IF(C13="","",IFERROR(INDEX(Справочники!$B$6:$B$45,MATCH(C13,Справочники!$A$6:$A$45,0)),"нет в справочнике"))</f>
        <v/>
      </c>
      <c r="E13" s="20" t="inlineStr">
        <is>
          <t>ООО «ЭлектроМаш»</t>
        </is>
      </c>
      <c r="F13" s="20" t="inlineStr">
        <is>
          <t>С-6016 от 20.01</t>
        </is>
      </c>
      <c r="G13" s="20" t="inlineStr">
        <is>
          <t>П281</t>
        </is>
      </c>
      <c r="H13" s="20" t="n">
        <v>50</v>
      </c>
      <c r="I13" s="18">
        <f>IF(C13="","",IFERROR(INDEX(Справочники!$C$6:$C$45,MATCH(C13,Справочники!$A$6:$A$45,0)),""))</f>
        <v/>
      </c>
      <c r="J13" s="22">
        <f>IF(C13="","",IFERROR(INDEX(Справочники!$E$6:$E$45,MATCH(C13,Справочники!$A$6:$A$45,0)),""))</f>
        <v/>
      </c>
      <c r="K13" s="23" t="inlineStr">
        <is>
          <t>Соответствует</t>
        </is>
      </c>
      <c r="L13" s="20" t="inlineStr">
        <is>
          <t>Принято</t>
        </is>
      </c>
      <c r="M13" s="19" t="n">
        <v>46043</v>
      </c>
      <c r="N13" s="20" t="inlineStr">
        <is>
          <t>Иванова Е.</t>
        </is>
      </c>
      <c r="O13" s="23" t="inlineStr"/>
      <c r="P13" s="18">
        <f>IF(B13="","",IF(M13="",IF(L13="Карантин",INT(TODAY())-B13,""),M13-B13))</f>
        <v/>
      </c>
      <c r="Q13" s="18">
        <f>IF(C13="","",IFERROR(INDEX(Справочники!$D$6:$D$45,MATCH(C13,Справочники!$A$6:$A$45,0)),""))</f>
        <v/>
      </c>
    </row>
    <row r="14">
      <c r="A14" s="18">
        <f>IF(B14="","",ROW()-5)</f>
        <v/>
      </c>
      <c r="B14" s="19" t="n">
        <v>46045</v>
      </c>
      <c r="C14" s="20" t="inlineStr">
        <is>
          <t>М-05</t>
        </is>
      </c>
      <c r="D14" s="21">
        <f>IF(C14="","",IFERROR(INDEX(Справочники!$B$6:$B$45,MATCH(C14,Справочники!$A$6:$A$45,0)),"нет в справочнике"))</f>
        <v/>
      </c>
      <c r="E14" s="20" t="inlineStr">
        <is>
          <t>ООО «Крепёж-Опт»</t>
        </is>
      </c>
      <c r="F14" s="20" t="inlineStr">
        <is>
          <t>С-6633 от 23.01</t>
        </is>
      </c>
      <c r="G14" s="20" t="inlineStr">
        <is>
          <t>П946</t>
        </is>
      </c>
      <c r="H14" s="20" t="n">
        <v>1000</v>
      </c>
      <c r="I14" s="18">
        <f>IF(C14="","",IFERROR(INDEX(Справочники!$C$6:$C$45,MATCH(C14,Справочники!$A$6:$A$45,0)),""))</f>
        <v/>
      </c>
      <c r="J14" s="22">
        <f>IF(C14="","",IFERROR(INDEX(Справочники!$E$6:$E$45,MATCH(C14,Справочники!$A$6:$A$45,0)),""))</f>
        <v/>
      </c>
      <c r="K14" s="23" t="inlineStr">
        <is>
          <t>Соответствует</t>
        </is>
      </c>
      <c r="L14" s="20" t="inlineStr">
        <is>
          <t>Принято</t>
        </is>
      </c>
      <c r="M14" s="19" t="n">
        <v>46045</v>
      </c>
      <c r="N14" s="20" t="inlineStr">
        <is>
          <t>Смирнов К.</t>
        </is>
      </c>
      <c r="O14" s="23" t="inlineStr"/>
      <c r="P14" s="18">
        <f>IF(B14="","",IF(M14="",IF(L14="Карантин",INT(TODAY())-B14,""),M14-B14))</f>
        <v/>
      </c>
      <c r="Q14" s="18">
        <f>IF(C14="","",IFERROR(INDEX(Справочники!$D$6:$D$45,MATCH(C14,Справочники!$A$6:$A$45,0)),""))</f>
        <v/>
      </c>
    </row>
    <row r="15">
      <c r="A15" s="18">
        <f>IF(B15="","",ROW()-5)</f>
        <v/>
      </c>
      <c r="B15" s="19" t="n">
        <v>46047</v>
      </c>
      <c r="C15" s="20" t="inlineStr">
        <is>
          <t>М-03</t>
        </is>
      </c>
      <c r="D15" s="21">
        <f>IF(C15="","",IFERROR(INDEX(Справочники!$B$6:$B$45,MATCH(C15,Справочники!$A$6:$A$45,0)),"нет в справочнике"))</f>
        <v/>
      </c>
      <c r="E15" s="20" t="inlineStr">
        <is>
          <t>ООО «СварТехСнаб»</t>
        </is>
      </c>
      <c r="F15" s="20" t="inlineStr">
        <is>
          <t>С-7780 от 25.01</t>
        </is>
      </c>
      <c r="G15" s="20" t="inlineStr">
        <is>
          <t>П209</t>
        </is>
      </c>
      <c r="H15" s="20" t="n">
        <v>500</v>
      </c>
      <c r="I15" s="18">
        <f>IF(C15="","",IFERROR(INDEX(Справочники!$C$6:$C$45,MATCH(C15,Справочники!$A$6:$A$45,0)),""))</f>
        <v/>
      </c>
      <c r="J15" s="22">
        <f>IF(C15="","",IFERROR(INDEX(Справочники!$E$6:$E$45,MATCH(C15,Справочники!$A$6:$A$45,0)),""))</f>
        <v/>
      </c>
      <c r="K15" s="23" t="inlineStr">
        <is>
          <t>Соответствует</t>
        </is>
      </c>
      <c r="L15" s="20" t="inlineStr">
        <is>
          <t>Принято</t>
        </is>
      </c>
      <c r="M15" s="19" t="n">
        <v>46047</v>
      </c>
      <c r="N15" s="20" t="inlineStr">
        <is>
          <t>Иванова Е.</t>
        </is>
      </c>
      <c r="O15" s="23" t="inlineStr"/>
      <c r="P15" s="18">
        <f>IF(B15="","",IF(M15="",IF(L15="Карантин",INT(TODAY())-B15,""),M15-B15))</f>
        <v/>
      </c>
      <c r="Q15" s="18">
        <f>IF(C15="","",IFERROR(INDEX(Справочники!$D$6:$D$45,MATCH(C15,Справочники!$A$6:$A$45,0)),""))</f>
        <v/>
      </c>
    </row>
    <row r="16">
      <c r="A16" s="18">
        <f>IF(B16="","",ROW()-5)</f>
        <v/>
      </c>
      <c r="B16" s="19" t="n">
        <v>46047</v>
      </c>
      <c r="C16" s="20" t="inlineStr">
        <is>
          <t>М-07</t>
        </is>
      </c>
      <c r="D16" s="21">
        <f>IF(C16="","",IFERROR(INDEX(Справочники!$B$6:$B$45,MATCH(C16,Справочники!$A$6:$A$45,0)),"нет в справочнике"))</f>
        <v/>
      </c>
      <c r="E16" s="20" t="inlineStr">
        <is>
          <t>ООО «Подшипник-Центр»</t>
        </is>
      </c>
      <c r="F16" s="20" t="inlineStr">
        <is>
          <t>С-8997 от 25.01</t>
        </is>
      </c>
      <c r="G16" s="20" t="inlineStr">
        <is>
          <t>П805</t>
        </is>
      </c>
      <c r="H16" s="20" t="n">
        <v>100</v>
      </c>
      <c r="I16" s="18">
        <f>IF(C16="","",IFERROR(INDEX(Справочники!$C$6:$C$45,MATCH(C16,Справочники!$A$6:$A$45,0)),""))</f>
        <v/>
      </c>
      <c r="J16" s="22">
        <f>IF(C16="","",IFERROR(INDEX(Справочники!$E$6:$E$45,MATCH(C16,Справочники!$A$6:$A$45,0)),""))</f>
        <v/>
      </c>
      <c r="K16" s="23" t="inlineStr">
        <is>
          <t>Соответствует</t>
        </is>
      </c>
      <c r="L16" s="20" t="inlineStr">
        <is>
          <t>Принято</t>
        </is>
      </c>
      <c r="M16" s="19" t="n">
        <v>46048</v>
      </c>
      <c r="N16" s="20" t="inlineStr">
        <is>
          <t>Орлова Т.</t>
        </is>
      </c>
      <c r="O16" s="23" t="inlineStr"/>
      <c r="P16" s="18">
        <f>IF(B16="","",IF(M16="",IF(L16="Карантин",INT(TODAY())-B16,""),M16-B16))</f>
        <v/>
      </c>
      <c r="Q16" s="18">
        <f>IF(C16="","",IFERROR(INDEX(Справочники!$D$6:$D$45,MATCH(C16,Справочники!$A$6:$A$45,0)),""))</f>
        <v/>
      </c>
    </row>
    <row r="17">
      <c r="A17" s="18">
        <f>IF(B17="","",ROW()-5)</f>
        <v/>
      </c>
      <c r="B17" s="19" t="n">
        <v>46049</v>
      </c>
      <c r="C17" s="20" t="inlineStr">
        <is>
          <t>М-05</t>
        </is>
      </c>
      <c r="D17" s="21">
        <f>IF(C17="","",IFERROR(INDEX(Справочники!$B$6:$B$45,MATCH(C17,Справочники!$A$6:$A$45,0)),"нет в справочнике"))</f>
        <v/>
      </c>
      <c r="E17" s="20" t="inlineStr">
        <is>
          <t>ООО «Крепёж-Опт»</t>
        </is>
      </c>
      <c r="F17" s="20" t="inlineStr">
        <is>
          <t>С-6545 от 27.01</t>
        </is>
      </c>
      <c r="G17" s="20" t="inlineStr">
        <is>
          <t>П284</t>
        </is>
      </c>
      <c r="H17" s="20" t="n">
        <v>100</v>
      </c>
      <c r="I17" s="18">
        <f>IF(C17="","",IFERROR(INDEX(Справочники!$C$6:$C$45,MATCH(C17,Справочники!$A$6:$A$45,0)),""))</f>
        <v/>
      </c>
      <c r="J17" s="22">
        <f>IF(C17="","",IFERROR(INDEX(Справочники!$E$6:$E$45,MATCH(C17,Справочники!$A$6:$A$45,0)),""))</f>
        <v/>
      </c>
      <c r="K17" s="23" t="inlineStr">
        <is>
          <t>Соответствует</t>
        </is>
      </c>
      <c r="L17" s="20" t="inlineStr">
        <is>
          <t>Принято</t>
        </is>
      </c>
      <c r="M17" s="19" t="n">
        <v>46049</v>
      </c>
      <c r="N17" s="20" t="inlineStr">
        <is>
          <t>Иванова Е.</t>
        </is>
      </c>
      <c r="O17" s="23" t="inlineStr"/>
      <c r="P17" s="18">
        <f>IF(B17="","",IF(M17="",IF(L17="Карантин",INT(TODAY())-B17,""),M17-B17))</f>
        <v/>
      </c>
      <c r="Q17" s="18">
        <f>IF(C17="","",IFERROR(INDEX(Справочники!$D$6:$D$45,MATCH(C17,Справочники!$A$6:$A$45,0)),""))</f>
        <v/>
      </c>
    </row>
    <row r="18">
      <c r="A18" s="18">
        <f>IF(B18="","",ROW()-5)</f>
        <v/>
      </c>
      <c r="B18" s="19" t="n">
        <v>46049</v>
      </c>
      <c r="C18" s="20" t="inlineStr">
        <is>
          <t>М-08</t>
        </is>
      </c>
      <c r="D18" s="21">
        <f>IF(C18="","",IFERROR(INDEX(Справочники!$B$6:$B$45,MATCH(C18,Справочники!$A$6:$A$45,0)),"нет в справочнике"))</f>
        <v/>
      </c>
      <c r="E18" s="20" t="inlineStr">
        <is>
          <t>ООО «КабельТорг»</t>
        </is>
      </c>
      <c r="F18" s="20" t="inlineStr">
        <is>
          <t>С-6008 от 27.01</t>
        </is>
      </c>
      <c r="G18" s="20" t="inlineStr">
        <is>
          <t>П472</t>
        </is>
      </c>
      <c r="H18" s="20" t="n">
        <v>1000</v>
      </c>
      <c r="I18" s="18">
        <f>IF(C18="","",IFERROR(INDEX(Справочники!$C$6:$C$45,MATCH(C18,Справочники!$A$6:$A$45,0)),""))</f>
        <v/>
      </c>
      <c r="J18" s="22">
        <f>IF(C18="","",IFERROR(INDEX(Справочники!$E$6:$E$45,MATCH(C18,Справочники!$A$6:$A$45,0)),""))</f>
        <v/>
      </c>
      <c r="K18" s="23" t="inlineStr">
        <is>
          <t>Соответствует</t>
        </is>
      </c>
      <c r="L18" s="20" t="inlineStr">
        <is>
          <t>Принято</t>
        </is>
      </c>
      <c r="M18" s="19" t="n">
        <v>46051</v>
      </c>
      <c r="N18" s="20" t="inlineStr">
        <is>
          <t>Орлова Т.</t>
        </is>
      </c>
      <c r="O18" s="23" t="inlineStr"/>
      <c r="P18" s="18">
        <f>IF(B18="","",IF(M18="",IF(L18="Карантин",INT(TODAY())-B18,""),M18-B18))</f>
        <v/>
      </c>
      <c r="Q18" s="18">
        <f>IF(C18="","",IFERROR(INDEX(Справочники!$D$6:$D$45,MATCH(C18,Справочники!$A$6:$A$45,0)),""))</f>
        <v/>
      </c>
    </row>
    <row r="19">
      <c r="A19" s="18">
        <f>IF(B19="","",ROW()-5)</f>
        <v/>
      </c>
      <c r="B19" s="19" t="n">
        <v>46052</v>
      </c>
      <c r="C19" s="20" t="inlineStr">
        <is>
          <t>М-08</t>
        </is>
      </c>
      <c r="D19" s="21">
        <f>IF(C19="","",IFERROR(INDEX(Справочники!$B$6:$B$45,MATCH(C19,Справочники!$A$6:$A$45,0)),"нет в справочнике"))</f>
        <v/>
      </c>
      <c r="E19" s="20" t="inlineStr">
        <is>
          <t>ООО «КабельТорг»</t>
        </is>
      </c>
      <c r="F19" s="20" t="inlineStr">
        <is>
          <t>С-8770 от 30.01</t>
        </is>
      </c>
      <c r="G19" s="20" t="inlineStr">
        <is>
          <t>П660</t>
        </is>
      </c>
      <c r="H19" s="20" t="n">
        <v>2000</v>
      </c>
      <c r="I19" s="18">
        <f>IF(C19="","",IFERROR(INDEX(Справочники!$C$6:$C$45,MATCH(C19,Справочники!$A$6:$A$45,0)),""))</f>
        <v/>
      </c>
      <c r="J19" s="22">
        <f>IF(C19="","",IFERROR(INDEX(Справочники!$E$6:$E$45,MATCH(C19,Справочники!$A$6:$A$45,0)),""))</f>
        <v/>
      </c>
      <c r="K19" s="23" t="inlineStr">
        <is>
          <t>Соответствует</t>
        </is>
      </c>
      <c r="L19" s="20" t="inlineStr">
        <is>
          <t>Принято</t>
        </is>
      </c>
      <c r="M19" s="19" t="n">
        <v>46053</v>
      </c>
      <c r="N19" s="20" t="inlineStr">
        <is>
          <t>Смирнов К.</t>
        </is>
      </c>
      <c r="O19" s="23" t="inlineStr"/>
      <c r="P19" s="18">
        <f>IF(B19="","",IF(M19="",IF(L19="Карантин",INT(TODAY())-B19,""),M19-B19))</f>
        <v/>
      </c>
      <c r="Q19" s="18">
        <f>IF(C19="","",IFERROR(INDEX(Справочники!$D$6:$D$45,MATCH(C19,Справочники!$A$6:$A$45,0)),""))</f>
        <v/>
      </c>
    </row>
    <row r="20">
      <c r="A20" s="18">
        <f>IF(B20="","",ROW()-5)</f>
        <v/>
      </c>
      <c r="B20" s="19" t="n">
        <v>46054</v>
      </c>
      <c r="C20" s="20" t="inlineStr">
        <is>
          <t>М-08</t>
        </is>
      </c>
      <c r="D20" s="21">
        <f>IF(C20="","",IFERROR(INDEX(Справочники!$B$6:$B$45,MATCH(C20,Справочники!$A$6:$A$45,0)),"нет в справочнике"))</f>
        <v/>
      </c>
      <c r="E20" s="20" t="inlineStr">
        <is>
          <t>ООО «КабельТорг»</t>
        </is>
      </c>
      <c r="F20" s="20" t="inlineStr">
        <is>
          <t>С-6735 от 01.02</t>
        </is>
      </c>
      <c r="G20" s="20" t="inlineStr">
        <is>
          <t>П963</t>
        </is>
      </c>
      <c r="H20" s="20" t="n">
        <v>2000</v>
      </c>
      <c r="I20" s="18">
        <f>IF(C20="","",IFERROR(INDEX(Справочники!$C$6:$C$45,MATCH(C20,Справочники!$A$6:$A$45,0)),""))</f>
        <v/>
      </c>
      <c r="J20" s="22">
        <f>IF(C20="","",IFERROR(INDEX(Справочники!$E$6:$E$45,MATCH(C20,Справочники!$A$6:$A$45,0)),""))</f>
        <v/>
      </c>
      <c r="K20" s="23" t="inlineStr">
        <is>
          <t>Соответствует</t>
        </is>
      </c>
      <c r="L20" s="20" t="inlineStr">
        <is>
          <t>Принято</t>
        </is>
      </c>
      <c r="M20" s="19" t="n">
        <v>46055</v>
      </c>
      <c r="N20" s="20" t="inlineStr">
        <is>
          <t>Иванова Е.</t>
        </is>
      </c>
      <c r="O20" s="23" t="inlineStr"/>
      <c r="P20" s="18">
        <f>IF(B20="","",IF(M20="",IF(L20="Карантин",INT(TODAY())-B20,""),M20-B20))</f>
        <v/>
      </c>
      <c r="Q20" s="18">
        <f>IF(C20="","",IFERROR(INDEX(Справочники!$D$6:$D$45,MATCH(C20,Справочники!$A$6:$A$45,0)),""))</f>
        <v/>
      </c>
    </row>
    <row r="21">
      <c r="A21" s="18">
        <f>IF(B21="","",ROW()-5)</f>
        <v/>
      </c>
      <c r="B21" s="19" t="n">
        <v>46057</v>
      </c>
      <c r="C21" s="20" t="inlineStr">
        <is>
          <t>М-06</t>
        </is>
      </c>
      <c r="D21" s="21">
        <f>IF(C21="","",IFERROR(INDEX(Справочники!$B$6:$B$45,MATCH(C21,Справочники!$A$6:$A$45,0)),"нет в справочнике"))</f>
        <v/>
      </c>
      <c r="E21" s="20" t="inlineStr">
        <is>
          <t>ООО «ЭлектроМаш»</t>
        </is>
      </c>
      <c r="F21" s="20" t="inlineStr">
        <is>
          <t>С-2291 от 04.02</t>
        </is>
      </c>
      <c r="G21" s="20" t="inlineStr">
        <is>
          <t>П836</t>
        </is>
      </c>
      <c r="H21" s="20" t="n">
        <v>500</v>
      </c>
      <c r="I21" s="18">
        <f>IF(C21="","",IFERROR(INDEX(Справочники!$C$6:$C$45,MATCH(C21,Справочники!$A$6:$A$45,0)),""))</f>
        <v/>
      </c>
      <c r="J21" s="22">
        <f>IF(C21="","",IFERROR(INDEX(Справочники!$E$6:$E$45,MATCH(C21,Справочники!$A$6:$A$45,0)),""))</f>
        <v/>
      </c>
      <c r="K21" s="23" t="inlineStr">
        <is>
          <t>Соответствует</t>
        </is>
      </c>
      <c r="L21" s="20" t="inlineStr">
        <is>
          <t>Принято</t>
        </is>
      </c>
      <c r="M21" s="19" t="n">
        <v>46059</v>
      </c>
      <c r="N21" s="20" t="inlineStr">
        <is>
          <t>Орлова Т.</t>
        </is>
      </c>
      <c r="O21" s="23" t="inlineStr"/>
      <c r="P21" s="18">
        <f>IF(B21="","",IF(M21="",IF(L21="Карантин",INT(TODAY())-B21,""),M21-B21))</f>
        <v/>
      </c>
      <c r="Q21" s="18">
        <f>IF(C21="","",IFERROR(INDEX(Справочники!$D$6:$D$45,MATCH(C21,Справочники!$A$6:$A$45,0)),""))</f>
        <v/>
      </c>
    </row>
    <row r="22">
      <c r="A22" s="18">
        <f>IF(B22="","",ROW()-5)</f>
        <v/>
      </c>
      <c r="B22" s="19" t="n">
        <v>46057</v>
      </c>
      <c r="C22" s="20" t="inlineStr">
        <is>
          <t>М-07</t>
        </is>
      </c>
      <c r="D22" s="21">
        <f>IF(C22="","",IFERROR(INDEX(Справочники!$B$6:$B$45,MATCH(C22,Справочники!$A$6:$A$45,0)),"нет в справочнике"))</f>
        <v/>
      </c>
      <c r="E22" s="20" t="inlineStr">
        <is>
          <t>ООО «Подшипник-Центр»</t>
        </is>
      </c>
      <c r="F22" s="20" t="inlineStr">
        <is>
          <t>С-1452 от 04.02</t>
        </is>
      </c>
      <c r="G22" s="20" t="inlineStr">
        <is>
          <t>П300</t>
        </is>
      </c>
      <c r="H22" s="20" t="n">
        <v>500</v>
      </c>
      <c r="I22" s="18">
        <f>IF(C22="","",IFERROR(INDEX(Справочники!$C$6:$C$45,MATCH(C22,Справочники!$A$6:$A$45,0)),""))</f>
        <v/>
      </c>
      <c r="J22" s="22">
        <f>IF(C22="","",IFERROR(INDEX(Справочники!$E$6:$E$45,MATCH(C22,Справочники!$A$6:$A$45,0)),""))</f>
        <v/>
      </c>
      <c r="K22" s="23" t="inlineStr">
        <is>
          <t>Соответствует</t>
        </is>
      </c>
      <c r="L22" s="20" t="inlineStr">
        <is>
          <t>Принято</t>
        </is>
      </c>
      <c r="M22" s="19" t="n">
        <v>46059</v>
      </c>
      <c r="N22" s="20" t="inlineStr">
        <is>
          <t>Иванова Е.</t>
        </is>
      </c>
      <c r="O22" s="23" t="inlineStr"/>
      <c r="P22" s="18">
        <f>IF(B22="","",IF(M22="",IF(L22="Карантин",INT(TODAY())-B22,""),M22-B22))</f>
        <v/>
      </c>
      <c r="Q22" s="18">
        <f>IF(C22="","",IFERROR(INDEX(Справочники!$D$6:$D$45,MATCH(C22,Справочники!$A$6:$A$45,0)),""))</f>
        <v/>
      </c>
    </row>
    <row r="23">
      <c r="A23" s="18">
        <f>IF(B23="","",ROW()-5)</f>
        <v/>
      </c>
      <c r="B23" s="19" t="n">
        <v>46060</v>
      </c>
      <c r="C23" s="20" t="inlineStr">
        <is>
          <t>М-10</t>
        </is>
      </c>
      <c r="D23" s="21">
        <f>IF(C23="","",IFERROR(INDEX(Справочники!$B$6:$B$45,MATCH(C23,Справочники!$A$6:$A$45,0)),"нет в справочнике"))</f>
        <v/>
      </c>
      <c r="E23" s="20" t="inlineStr">
        <is>
          <t>ООО «Подшипник-Центр»</t>
        </is>
      </c>
      <c r="F23" s="20" t="inlineStr">
        <is>
          <t>С-1887 от 07.02</t>
        </is>
      </c>
      <c r="G23" s="20" t="inlineStr">
        <is>
          <t>П236</t>
        </is>
      </c>
      <c r="H23" s="20" t="n">
        <v>1000</v>
      </c>
      <c r="I23" s="18">
        <f>IF(C23="","",IFERROR(INDEX(Справочники!$C$6:$C$45,MATCH(C23,Справочники!$A$6:$A$45,0)),""))</f>
        <v/>
      </c>
      <c r="J23" s="22">
        <f>IF(C23="","",IFERROR(INDEX(Справочники!$E$6:$E$45,MATCH(C23,Справочники!$A$6:$A$45,0)),""))</f>
        <v/>
      </c>
      <c r="K23" s="23" t="inlineStr">
        <is>
          <t>Соответствует</t>
        </is>
      </c>
      <c r="L23" s="20" t="inlineStr">
        <is>
          <t>Принято</t>
        </is>
      </c>
      <c r="M23" s="19" t="n">
        <v>46060</v>
      </c>
      <c r="N23" s="20" t="inlineStr">
        <is>
          <t>Иванова Е.</t>
        </is>
      </c>
      <c r="O23" s="23" t="inlineStr"/>
      <c r="P23" s="18">
        <f>IF(B23="","",IF(M23="",IF(L23="Карантин",INT(TODAY())-B23,""),M23-B23))</f>
        <v/>
      </c>
      <c r="Q23" s="18">
        <f>IF(C23="","",IFERROR(INDEX(Справочники!$D$6:$D$45,MATCH(C23,Справочники!$A$6:$A$45,0)),""))</f>
        <v/>
      </c>
    </row>
    <row r="24">
      <c r="A24" s="18">
        <f>IF(B24="","",ROW()-5)</f>
        <v/>
      </c>
      <c r="B24" s="19" t="n">
        <v>46060</v>
      </c>
      <c r="C24" s="20" t="inlineStr">
        <is>
          <t>М-06</t>
        </is>
      </c>
      <c r="D24" s="21">
        <f>IF(C24="","",IFERROR(INDEX(Справочники!$B$6:$B$45,MATCH(C24,Справочники!$A$6:$A$45,0)),"нет в справочнике"))</f>
        <v/>
      </c>
      <c r="E24" s="20" t="inlineStr">
        <is>
          <t>ООО «ЭлектроМаш»</t>
        </is>
      </c>
      <c r="F24" s="20" t="inlineStr">
        <is>
          <t>С-4348 от 07.02</t>
        </is>
      </c>
      <c r="G24" s="20" t="inlineStr">
        <is>
          <t>П343</t>
        </is>
      </c>
      <c r="H24" s="20" t="n">
        <v>500</v>
      </c>
      <c r="I24" s="18">
        <f>IF(C24="","",IFERROR(INDEX(Справочники!$C$6:$C$45,MATCH(C24,Справочники!$A$6:$A$45,0)),""))</f>
        <v/>
      </c>
      <c r="J24" s="22">
        <f>IF(C24="","",IFERROR(INDEX(Справочники!$E$6:$E$45,MATCH(C24,Справочники!$A$6:$A$45,0)),""))</f>
        <v/>
      </c>
      <c r="K24" s="23" t="inlineStr">
        <is>
          <t>Соответствует</t>
        </is>
      </c>
      <c r="L24" s="20" t="inlineStr">
        <is>
          <t>Принято</t>
        </is>
      </c>
      <c r="M24" s="19" t="n">
        <v>46062</v>
      </c>
      <c r="N24" s="20" t="inlineStr">
        <is>
          <t>Орлова Т.</t>
        </is>
      </c>
      <c r="O24" s="23" t="inlineStr"/>
      <c r="P24" s="18">
        <f>IF(B24="","",IF(M24="",IF(L24="Карантин",INT(TODAY())-B24,""),M24-B24))</f>
        <v/>
      </c>
      <c r="Q24" s="18">
        <f>IF(C24="","",IFERROR(INDEX(Справочники!$D$6:$D$45,MATCH(C24,Справочники!$A$6:$A$45,0)),""))</f>
        <v/>
      </c>
    </row>
    <row r="25">
      <c r="A25" s="18">
        <f>IF(B25="","",ROW()-5)</f>
        <v/>
      </c>
      <c r="B25" s="19" t="n">
        <v>46064</v>
      </c>
      <c r="C25" s="20" t="inlineStr">
        <is>
          <t>М-05</t>
        </is>
      </c>
      <c r="D25" s="21">
        <f>IF(C25="","",IFERROR(INDEX(Справочники!$B$6:$B$45,MATCH(C25,Справочники!$A$6:$A$45,0)),"нет в справочнике"))</f>
        <v/>
      </c>
      <c r="E25" s="20" t="inlineStr">
        <is>
          <t>ООО «Крепёж-Опт»</t>
        </is>
      </c>
      <c r="F25" s="20" t="inlineStr">
        <is>
          <t>С-9932 от 11.02</t>
        </is>
      </c>
      <c r="G25" s="20" t="inlineStr">
        <is>
          <t>П624</t>
        </is>
      </c>
      <c r="H25" s="20" t="n">
        <v>500</v>
      </c>
      <c r="I25" s="18">
        <f>IF(C25="","",IFERROR(INDEX(Справочники!$C$6:$C$45,MATCH(C25,Справочники!$A$6:$A$45,0)),""))</f>
        <v/>
      </c>
      <c r="J25" s="22">
        <f>IF(C25="","",IFERROR(INDEX(Справочники!$E$6:$E$45,MATCH(C25,Справочники!$A$6:$A$45,0)),""))</f>
        <v/>
      </c>
      <c r="K25" s="23" t="inlineStr">
        <is>
          <t>Соответствует</t>
        </is>
      </c>
      <c r="L25" s="20" t="inlineStr">
        <is>
          <t>Принято</t>
        </is>
      </c>
      <c r="M25" s="19" t="n">
        <v>46066</v>
      </c>
      <c r="N25" s="20" t="inlineStr">
        <is>
          <t>Смирнов К.</t>
        </is>
      </c>
      <c r="O25" s="23" t="inlineStr"/>
      <c r="P25" s="18">
        <f>IF(B25="","",IF(M25="",IF(L25="Карантин",INT(TODAY())-B25,""),M25-B25))</f>
        <v/>
      </c>
      <c r="Q25" s="18">
        <f>IF(C25="","",IFERROR(INDEX(Справочники!$D$6:$D$45,MATCH(C25,Справочники!$A$6:$A$45,0)),""))</f>
        <v/>
      </c>
    </row>
    <row r="26">
      <c r="A26" s="18">
        <f>IF(B26="","",ROW()-5)</f>
        <v/>
      </c>
      <c r="B26" s="19" t="n">
        <v>46064</v>
      </c>
      <c r="C26" s="20" t="inlineStr">
        <is>
          <t>М-10</t>
        </is>
      </c>
      <c r="D26" s="21">
        <f>IF(C26="","",IFERROR(INDEX(Справочники!$B$6:$B$45,MATCH(C26,Справочники!$A$6:$A$45,0)),"нет в справочнике"))</f>
        <v/>
      </c>
      <c r="E26" s="20" t="inlineStr">
        <is>
          <t>ООО «Подшипник-Центр»</t>
        </is>
      </c>
      <c r="F26" s="20" t="inlineStr">
        <is>
          <t>С-3568 от 11.02</t>
        </is>
      </c>
      <c r="G26" s="20" t="inlineStr">
        <is>
          <t>П710</t>
        </is>
      </c>
      <c r="H26" s="20" t="n">
        <v>500</v>
      </c>
      <c r="I26" s="18">
        <f>IF(C26="","",IFERROR(INDEX(Справочники!$C$6:$C$45,MATCH(C26,Справочники!$A$6:$A$45,0)),""))</f>
        <v/>
      </c>
      <c r="J26" s="22">
        <f>IF(C26="","",IFERROR(INDEX(Справочники!$E$6:$E$45,MATCH(C26,Справочники!$A$6:$A$45,0)),""))</f>
        <v/>
      </c>
      <c r="K26" s="23" t="inlineStr">
        <is>
          <t>Соответствует</t>
        </is>
      </c>
      <c r="L26" s="20" t="inlineStr">
        <is>
          <t>Принято</t>
        </is>
      </c>
      <c r="M26" s="19" t="n">
        <v>46064</v>
      </c>
      <c r="N26" s="20" t="inlineStr">
        <is>
          <t>Смирнов К.</t>
        </is>
      </c>
      <c r="O26" s="23" t="inlineStr"/>
      <c r="P26" s="18">
        <f>IF(B26="","",IF(M26="",IF(L26="Карантин",INT(TODAY())-B26,""),M26-B26))</f>
        <v/>
      </c>
      <c r="Q26" s="18">
        <f>IF(C26="","",IFERROR(INDEX(Справочники!$D$6:$D$45,MATCH(C26,Справочники!$A$6:$A$45,0)),""))</f>
        <v/>
      </c>
    </row>
    <row r="27">
      <c r="A27" s="18">
        <f>IF(B27="","",ROW()-5)</f>
        <v/>
      </c>
      <c r="B27" s="19" t="n">
        <v>46067</v>
      </c>
      <c r="C27" s="20" t="inlineStr">
        <is>
          <t>М-04</t>
        </is>
      </c>
      <c r="D27" s="21">
        <f>IF(C27="","",IFERROR(INDEX(Справочники!$B$6:$B$45,MATCH(C27,Справочники!$A$6:$A$45,0)),"нет в справочнике"))</f>
        <v/>
      </c>
      <c r="E27" s="20" t="inlineStr">
        <is>
          <t>ООО «Колор-Покрытия»</t>
        </is>
      </c>
      <c r="F27" s="20" t="inlineStr">
        <is>
          <t>С-6341 от 14.02</t>
        </is>
      </c>
      <c r="G27" s="20" t="inlineStr">
        <is>
          <t>П679</t>
        </is>
      </c>
      <c r="H27" s="20" t="n">
        <v>1000</v>
      </c>
      <c r="I27" s="18">
        <f>IF(C27="","",IFERROR(INDEX(Справочники!$C$6:$C$45,MATCH(C27,Справочники!$A$6:$A$45,0)),""))</f>
        <v/>
      </c>
      <c r="J27" s="22">
        <f>IF(C27="","",IFERROR(INDEX(Справочники!$E$6:$E$45,MATCH(C27,Справочники!$A$6:$A$45,0)),""))</f>
        <v/>
      </c>
      <c r="K27" s="23" t="inlineStr">
        <is>
          <t>Соответствует</t>
        </is>
      </c>
      <c r="L27" s="20" t="inlineStr">
        <is>
          <t>Принято</t>
        </is>
      </c>
      <c r="M27" s="19" t="n">
        <v>46068</v>
      </c>
      <c r="N27" s="20" t="inlineStr">
        <is>
          <t>Орлова Т.</t>
        </is>
      </c>
      <c r="O27" s="23" t="inlineStr"/>
      <c r="P27" s="18">
        <f>IF(B27="","",IF(M27="",IF(L27="Карантин",INT(TODAY())-B27,""),M27-B27))</f>
        <v/>
      </c>
      <c r="Q27" s="18">
        <f>IF(C27="","",IFERROR(INDEX(Справочники!$D$6:$D$45,MATCH(C27,Справочники!$A$6:$A$45,0)),""))</f>
        <v/>
      </c>
    </row>
    <row r="28">
      <c r="A28" s="18">
        <f>IF(B28="","",ROW()-5)</f>
        <v/>
      </c>
      <c r="B28" s="19" t="n">
        <v>46067</v>
      </c>
      <c r="C28" s="20" t="inlineStr">
        <is>
          <t>М-09</t>
        </is>
      </c>
      <c r="D28" s="21">
        <f>IF(C28="","",IFERROR(INDEX(Справочники!$B$6:$B$45,MATCH(C28,Справочники!$A$6:$A$45,0)),"нет в справочнике"))</f>
        <v/>
      </c>
      <c r="E28" s="20" t="inlineStr">
        <is>
          <t>ООО «Крепёж-Опт»</t>
        </is>
      </c>
      <c r="F28" s="20" t="inlineStr">
        <is>
          <t>С-8857 от 14.02</t>
        </is>
      </c>
      <c r="G28" s="20" t="inlineStr">
        <is>
          <t>П825</t>
        </is>
      </c>
      <c r="H28" s="20" t="n">
        <v>100</v>
      </c>
      <c r="I28" s="18">
        <f>IF(C28="","",IFERROR(INDEX(Справочники!$C$6:$C$45,MATCH(C28,Справочники!$A$6:$A$45,0)),""))</f>
        <v/>
      </c>
      <c r="J28" s="22">
        <f>IF(C28="","",IFERROR(INDEX(Справочники!$E$6:$E$45,MATCH(C28,Справочники!$A$6:$A$45,0)),""))</f>
        <v/>
      </c>
      <c r="K28" s="23" t="inlineStr">
        <is>
          <t>Соответствует</t>
        </is>
      </c>
      <c r="L28" s="20" t="inlineStr">
        <is>
          <t>Принято</t>
        </is>
      </c>
      <c r="M28" s="19" t="n">
        <v>46069</v>
      </c>
      <c r="N28" s="20" t="inlineStr">
        <is>
          <t>Смирнов К.</t>
        </is>
      </c>
      <c r="O28" s="23" t="inlineStr"/>
      <c r="P28" s="18">
        <f>IF(B28="","",IF(M28="",IF(L28="Карантин",INT(TODAY())-B28,""),M28-B28))</f>
        <v/>
      </c>
      <c r="Q28" s="18">
        <f>IF(C28="","",IFERROR(INDEX(Справочники!$D$6:$D$45,MATCH(C28,Справочники!$A$6:$A$45,0)),""))</f>
        <v/>
      </c>
    </row>
    <row r="29">
      <c r="A29" s="18">
        <f>IF(B29="","",ROW()-5)</f>
        <v/>
      </c>
      <c r="B29" s="19" t="n">
        <v>46069</v>
      </c>
      <c r="C29" s="20" t="inlineStr">
        <is>
          <t>М-10</t>
        </is>
      </c>
      <c r="D29" s="21">
        <f>IF(C29="","",IFERROR(INDEX(Справочники!$B$6:$B$45,MATCH(C29,Справочники!$A$6:$A$45,0)),"нет в справочнике"))</f>
        <v/>
      </c>
      <c r="E29" s="20" t="inlineStr">
        <is>
          <t>ООО «Подшипник-Центр»</t>
        </is>
      </c>
      <c r="F29" s="20" t="inlineStr">
        <is>
          <t>С-9056 от 16.02</t>
        </is>
      </c>
      <c r="G29" s="20" t="inlineStr">
        <is>
          <t>П393</t>
        </is>
      </c>
      <c r="H29" s="20" t="n">
        <v>50</v>
      </c>
      <c r="I29" s="18">
        <f>IF(C29="","",IFERROR(INDEX(Справочники!$C$6:$C$45,MATCH(C29,Справочники!$A$6:$A$45,0)),""))</f>
        <v/>
      </c>
      <c r="J29" s="22">
        <f>IF(C29="","",IFERROR(INDEX(Справочники!$E$6:$E$45,MATCH(C29,Справочники!$A$6:$A$45,0)),""))</f>
        <v/>
      </c>
      <c r="K29" s="23" t="inlineStr">
        <is>
          <t>Соответствует</t>
        </is>
      </c>
      <c r="L29" s="20" t="inlineStr">
        <is>
          <t>Принято</t>
        </is>
      </c>
      <c r="M29" s="19" t="n">
        <v>46070</v>
      </c>
      <c r="N29" s="20" t="inlineStr">
        <is>
          <t>Иванова Е.</t>
        </is>
      </c>
      <c r="O29" s="23" t="inlineStr"/>
      <c r="P29" s="18">
        <f>IF(B29="","",IF(M29="",IF(L29="Карантин",INT(TODAY())-B29,""),M29-B29))</f>
        <v/>
      </c>
      <c r="Q29" s="18">
        <f>IF(C29="","",IFERROR(INDEX(Справочники!$D$6:$D$45,MATCH(C29,Справочники!$A$6:$A$45,0)),""))</f>
        <v/>
      </c>
    </row>
    <row r="30">
      <c r="A30" s="18">
        <f>IF(B30="","",ROW()-5)</f>
        <v/>
      </c>
      <c r="B30" s="19" t="n">
        <v>46072</v>
      </c>
      <c r="C30" s="20" t="inlineStr">
        <is>
          <t>М-04</t>
        </is>
      </c>
      <c r="D30" s="21">
        <f>IF(C30="","",IFERROR(INDEX(Справочники!$B$6:$B$45,MATCH(C30,Справочники!$A$6:$A$45,0)),"нет в справочнике"))</f>
        <v/>
      </c>
      <c r="E30" s="20" t="inlineStr">
        <is>
          <t>ООО «Колор-Покрытия»</t>
        </is>
      </c>
      <c r="F30" s="20" t="inlineStr">
        <is>
          <t>С-4989 от 19.02</t>
        </is>
      </c>
      <c r="G30" s="20" t="inlineStr">
        <is>
          <t>П585</t>
        </is>
      </c>
      <c r="H30" s="20" t="n">
        <v>200</v>
      </c>
      <c r="I30" s="18">
        <f>IF(C30="","",IFERROR(INDEX(Справочники!$C$6:$C$45,MATCH(C30,Справочники!$A$6:$A$45,0)),""))</f>
        <v/>
      </c>
      <c r="J30" s="22">
        <f>IF(C30="","",IFERROR(INDEX(Справочники!$E$6:$E$45,MATCH(C30,Справочники!$A$6:$A$45,0)),""))</f>
        <v/>
      </c>
      <c r="K30" s="23" t="inlineStr">
        <is>
          <t>Соответствует</t>
        </is>
      </c>
      <c r="L30" s="20" t="inlineStr">
        <is>
          <t>Принято</t>
        </is>
      </c>
      <c r="M30" s="19" t="n">
        <v>46072</v>
      </c>
      <c r="N30" s="20" t="inlineStr">
        <is>
          <t>Иванова Е.</t>
        </is>
      </c>
      <c r="O30" s="23" t="inlineStr"/>
      <c r="P30" s="18">
        <f>IF(B30="","",IF(M30="",IF(L30="Карантин",INT(TODAY())-B30,""),M30-B30))</f>
        <v/>
      </c>
      <c r="Q30" s="18">
        <f>IF(C30="","",IFERROR(INDEX(Справочники!$D$6:$D$45,MATCH(C30,Справочники!$A$6:$A$45,0)),""))</f>
        <v/>
      </c>
    </row>
    <row r="31">
      <c r="A31" s="18">
        <f>IF(B31="","",ROW()-5)</f>
        <v/>
      </c>
      <c r="B31" s="19" t="n">
        <v>46072</v>
      </c>
      <c r="C31" s="20" t="inlineStr">
        <is>
          <t>М-04</t>
        </is>
      </c>
      <c r="D31" s="21">
        <f>IF(C31="","",IFERROR(INDEX(Справочники!$B$6:$B$45,MATCH(C31,Справочники!$A$6:$A$45,0)),"нет в справочнике"))</f>
        <v/>
      </c>
      <c r="E31" s="20" t="inlineStr">
        <is>
          <t>ООО «Колор-Покрытия»</t>
        </is>
      </c>
      <c r="F31" s="20" t="inlineStr">
        <is>
          <t>С-9490 от 19.02</t>
        </is>
      </c>
      <c r="G31" s="20" t="inlineStr">
        <is>
          <t>П760</t>
        </is>
      </c>
      <c r="H31" s="20" t="n">
        <v>500</v>
      </c>
      <c r="I31" s="18">
        <f>IF(C31="","",IFERROR(INDEX(Справочники!$C$6:$C$45,MATCH(C31,Справочники!$A$6:$A$45,0)),""))</f>
        <v/>
      </c>
      <c r="J31" s="22">
        <f>IF(C31="","",IFERROR(INDEX(Справочники!$E$6:$E$45,MATCH(C31,Справочники!$A$6:$A$45,0)),""))</f>
        <v/>
      </c>
      <c r="K31" s="23" t="inlineStr">
        <is>
          <t>Соответствует</t>
        </is>
      </c>
      <c r="L31" s="20" t="inlineStr">
        <is>
          <t>Принято</t>
        </is>
      </c>
      <c r="M31" s="19" t="n">
        <v>46072</v>
      </c>
      <c r="N31" s="20" t="inlineStr">
        <is>
          <t>Орлова Т.</t>
        </is>
      </c>
      <c r="O31" s="23" t="inlineStr"/>
      <c r="P31" s="18">
        <f>IF(B31="","",IF(M31="",IF(L31="Карантин",INT(TODAY())-B31,""),M31-B31))</f>
        <v/>
      </c>
      <c r="Q31" s="18">
        <f>IF(C31="","",IFERROR(INDEX(Справочники!$D$6:$D$45,MATCH(C31,Справочники!$A$6:$A$45,0)),""))</f>
        <v/>
      </c>
    </row>
    <row r="32">
      <c r="A32" s="18">
        <f>IF(B32="","",ROW()-5)</f>
        <v/>
      </c>
      <c r="B32" s="19" t="n">
        <v>46076</v>
      </c>
      <c r="C32" s="20" t="inlineStr">
        <is>
          <t>М-05</t>
        </is>
      </c>
      <c r="D32" s="21">
        <f>IF(C32="","",IFERROR(INDEX(Справочники!$B$6:$B$45,MATCH(C32,Справочники!$A$6:$A$45,0)),"нет в справочнике"))</f>
        <v/>
      </c>
      <c r="E32" s="20" t="inlineStr">
        <is>
          <t>ООО «Крепёж-Опт»</t>
        </is>
      </c>
      <c r="F32" s="20" t="inlineStr">
        <is>
          <t>С-6915 от 23.02</t>
        </is>
      </c>
      <c r="G32" s="20" t="inlineStr">
        <is>
          <t>П798</t>
        </is>
      </c>
      <c r="H32" s="20" t="n">
        <v>50</v>
      </c>
      <c r="I32" s="18">
        <f>IF(C32="","",IFERROR(INDEX(Справочники!$C$6:$C$45,MATCH(C32,Справочники!$A$6:$A$45,0)),""))</f>
        <v/>
      </c>
      <c r="J32" s="22">
        <f>IF(C32="","",IFERROR(INDEX(Справочники!$E$6:$E$45,MATCH(C32,Справочники!$A$6:$A$45,0)),""))</f>
        <v/>
      </c>
      <c r="K32" s="23" t="inlineStr">
        <is>
          <t>Соответствует</t>
        </is>
      </c>
      <c r="L32" s="20" t="inlineStr">
        <is>
          <t>Принято</t>
        </is>
      </c>
      <c r="M32" s="19" t="n">
        <v>46077</v>
      </c>
      <c r="N32" s="20" t="inlineStr">
        <is>
          <t>Орлова Т.</t>
        </is>
      </c>
      <c r="O32" s="23" t="inlineStr"/>
      <c r="P32" s="18">
        <f>IF(B32="","",IF(M32="",IF(L32="Карантин",INT(TODAY())-B32,""),M32-B32))</f>
        <v/>
      </c>
      <c r="Q32" s="18">
        <f>IF(C32="","",IFERROR(INDEX(Справочники!$D$6:$D$45,MATCH(C32,Справочники!$A$6:$A$45,0)),""))</f>
        <v/>
      </c>
    </row>
    <row r="33">
      <c r="A33" s="18">
        <f>IF(B33="","",ROW()-5)</f>
        <v/>
      </c>
      <c r="B33" s="19" t="n">
        <v>46079</v>
      </c>
      <c r="C33" s="20" t="inlineStr">
        <is>
          <t>М-01</t>
        </is>
      </c>
      <c r="D33" s="21">
        <f>IF(C33="","",IFERROR(INDEX(Справочники!$B$6:$B$45,MATCH(C33,Справочники!$A$6:$A$45,0)),"нет в справочнике"))</f>
        <v/>
      </c>
      <c r="E33" s="20" t="inlineStr">
        <is>
          <t>ООО «Металл-Сервис»</t>
        </is>
      </c>
      <c r="F33" s="20" t="inlineStr">
        <is>
          <t>С-8007 от 26.02</t>
        </is>
      </c>
      <c r="G33" s="20" t="inlineStr">
        <is>
          <t>П709</t>
        </is>
      </c>
      <c r="H33" s="20" t="n">
        <v>14.3</v>
      </c>
      <c r="I33" s="18">
        <f>IF(C33="","",IFERROR(INDEX(Справочники!$C$6:$C$45,MATCH(C33,Справочники!$A$6:$A$45,0)),""))</f>
        <v/>
      </c>
      <c r="J33" s="22">
        <f>IF(C33="","",IFERROR(INDEX(Справочники!$E$6:$E$45,MATCH(C33,Справочники!$A$6:$A$45,0)),""))</f>
        <v/>
      </c>
      <c r="K33" s="23" t="inlineStr">
        <is>
          <t>Соответствует</t>
        </is>
      </c>
      <c r="L33" s="20" t="inlineStr">
        <is>
          <t>Принято</t>
        </is>
      </c>
      <c r="M33" s="19" t="n">
        <v>46080</v>
      </c>
      <c r="N33" s="20" t="inlineStr">
        <is>
          <t>Орлова Т.</t>
        </is>
      </c>
      <c r="O33" s="23" t="inlineStr"/>
      <c r="P33" s="18">
        <f>IF(B33="","",IF(M33="",IF(L33="Карантин",INT(TODAY())-B33,""),M33-B33))</f>
        <v/>
      </c>
      <c r="Q33" s="18">
        <f>IF(C33="","",IFERROR(INDEX(Справочники!$D$6:$D$45,MATCH(C33,Справочники!$A$6:$A$45,0)),""))</f>
        <v/>
      </c>
    </row>
    <row r="34">
      <c r="A34" s="18">
        <f>IF(B34="","",ROW()-5)</f>
        <v/>
      </c>
      <c r="B34" s="19" t="n">
        <v>46082</v>
      </c>
      <c r="C34" s="20" t="inlineStr">
        <is>
          <t>М-07</t>
        </is>
      </c>
      <c r="D34" s="21">
        <f>IF(C34="","",IFERROR(INDEX(Справочники!$B$6:$B$45,MATCH(C34,Справочники!$A$6:$A$45,0)),"нет в справочнике"))</f>
        <v/>
      </c>
      <c r="E34" s="20" t="inlineStr">
        <is>
          <t>ООО «Подшипник-Центр»</t>
        </is>
      </c>
      <c r="F34" s="20" t="inlineStr">
        <is>
          <t>С-8091 от 01.03</t>
        </is>
      </c>
      <c r="G34" s="20" t="inlineStr">
        <is>
          <t>П696</t>
        </is>
      </c>
      <c r="H34" s="20" t="n">
        <v>50</v>
      </c>
      <c r="I34" s="18">
        <f>IF(C34="","",IFERROR(INDEX(Справочники!$C$6:$C$45,MATCH(C34,Справочники!$A$6:$A$45,0)),""))</f>
        <v/>
      </c>
      <c r="J34" s="22">
        <f>IF(C34="","",IFERROR(INDEX(Справочники!$E$6:$E$45,MATCH(C34,Справочники!$A$6:$A$45,0)),""))</f>
        <v/>
      </c>
      <c r="K34" s="23" t="inlineStr">
        <is>
          <t>Соответствует</t>
        </is>
      </c>
      <c r="L34" s="20" t="inlineStr">
        <is>
          <t>Принято</t>
        </is>
      </c>
      <c r="M34" s="19" t="n">
        <v>46082</v>
      </c>
      <c r="N34" s="20" t="inlineStr">
        <is>
          <t>Смирнов К.</t>
        </is>
      </c>
      <c r="O34" s="23" t="inlineStr"/>
      <c r="P34" s="18">
        <f>IF(B34="","",IF(M34="",IF(L34="Карантин",INT(TODAY())-B34,""),M34-B34))</f>
        <v/>
      </c>
      <c r="Q34" s="18">
        <f>IF(C34="","",IFERROR(INDEX(Справочники!$D$6:$D$45,MATCH(C34,Справочники!$A$6:$A$45,0)),""))</f>
        <v/>
      </c>
    </row>
    <row r="35">
      <c r="A35" s="18">
        <f>IF(B35="","",ROW()-5)</f>
        <v/>
      </c>
      <c r="B35" s="19" t="n">
        <v>46082</v>
      </c>
      <c r="C35" s="20" t="inlineStr">
        <is>
          <t>М-08</t>
        </is>
      </c>
      <c r="D35" s="21">
        <f>IF(C35="","",IFERROR(INDEX(Справочники!$B$6:$B$45,MATCH(C35,Справочники!$A$6:$A$45,0)),"нет в справочнике"))</f>
        <v/>
      </c>
      <c r="E35" s="20" t="inlineStr">
        <is>
          <t>ООО «КабельТорг»</t>
        </is>
      </c>
      <c r="F35" s="20" t="inlineStr">
        <is>
          <t>С-7972 от 01.03</t>
        </is>
      </c>
      <c r="G35" s="20" t="inlineStr">
        <is>
          <t>П699</t>
        </is>
      </c>
      <c r="H35" s="20" t="n">
        <v>2000</v>
      </c>
      <c r="I35" s="18">
        <f>IF(C35="","",IFERROR(INDEX(Справочники!$C$6:$C$45,MATCH(C35,Справочники!$A$6:$A$45,0)),""))</f>
        <v/>
      </c>
      <c r="J35" s="22">
        <f>IF(C35="","",IFERROR(INDEX(Справочники!$E$6:$E$45,MATCH(C35,Справочники!$A$6:$A$45,0)),""))</f>
        <v/>
      </c>
      <c r="K35" s="23" t="inlineStr">
        <is>
          <t>Соответствует</t>
        </is>
      </c>
      <c r="L35" s="20" t="inlineStr">
        <is>
          <t>Принято</t>
        </is>
      </c>
      <c r="M35" s="19" t="n">
        <v>46083</v>
      </c>
      <c r="N35" s="20" t="inlineStr">
        <is>
          <t>Орлова Т.</t>
        </is>
      </c>
      <c r="O35" s="23" t="inlineStr"/>
      <c r="P35" s="18">
        <f>IF(B35="","",IF(M35="",IF(L35="Карантин",INT(TODAY())-B35,""),M35-B35))</f>
        <v/>
      </c>
      <c r="Q35" s="18">
        <f>IF(C35="","",IFERROR(INDEX(Справочники!$D$6:$D$45,MATCH(C35,Справочники!$A$6:$A$45,0)),""))</f>
        <v/>
      </c>
    </row>
    <row r="36">
      <c r="A36" s="18">
        <f>IF(B36="","",ROW()-5)</f>
        <v/>
      </c>
      <c r="B36" s="19" t="n">
        <v>46086</v>
      </c>
      <c r="C36" s="20" t="inlineStr">
        <is>
          <t>М-05</t>
        </is>
      </c>
      <c r="D36" s="21">
        <f>IF(C36="","",IFERROR(INDEX(Справочники!$B$6:$B$45,MATCH(C36,Справочники!$A$6:$A$45,0)),"нет в справочнике"))</f>
        <v/>
      </c>
      <c r="E36" s="20" t="inlineStr">
        <is>
          <t>ООО «Крепёж-Опт»</t>
        </is>
      </c>
      <c r="F36" s="20" t="inlineStr">
        <is>
          <t>С-1801 от 05.03</t>
        </is>
      </c>
      <c r="G36" s="20" t="inlineStr">
        <is>
          <t>П226</t>
        </is>
      </c>
      <c r="H36" s="20" t="n">
        <v>50</v>
      </c>
      <c r="I36" s="18">
        <f>IF(C36="","",IFERROR(INDEX(Справочники!$C$6:$C$45,MATCH(C36,Справочники!$A$6:$A$45,0)),""))</f>
        <v/>
      </c>
      <c r="J36" s="22">
        <f>IF(C36="","",IFERROR(INDEX(Справочники!$E$6:$E$45,MATCH(C36,Справочники!$A$6:$A$45,0)),""))</f>
        <v/>
      </c>
      <c r="K36" s="23" t="inlineStr">
        <is>
          <t>Соответствует</t>
        </is>
      </c>
      <c r="L36" s="20" t="inlineStr">
        <is>
          <t>Принято</t>
        </is>
      </c>
      <c r="M36" s="19" t="n">
        <v>46086</v>
      </c>
      <c r="N36" s="20" t="inlineStr">
        <is>
          <t>Иванова Е.</t>
        </is>
      </c>
      <c r="O36" s="23" t="inlineStr"/>
      <c r="P36" s="18">
        <f>IF(B36="","",IF(M36="",IF(L36="Карантин",INT(TODAY())-B36,""),M36-B36))</f>
        <v/>
      </c>
      <c r="Q36" s="18">
        <f>IF(C36="","",IFERROR(INDEX(Справочники!$D$6:$D$45,MATCH(C36,Справочники!$A$6:$A$45,0)),""))</f>
        <v/>
      </c>
    </row>
    <row r="37">
      <c r="A37" s="18">
        <f>IF(B37="","",ROW()-5)</f>
        <v/>
      </c>
      <c r="B37" s="19" t="n">
        <v>46090</v>
      </c>
      <c r="C37" s="20" t="inlineStr">
        <is>
          <t>М-05</t>
        </is>
      </c>
      <c r="D37" s="21">
        <f>IF(C37="","",IFERROR(INDEX(Справочники!$B$6:$B$45,MATCH(C37,Справочники!$A$6:$A$45,0)),"нет в справочнике"))</f>
        <v/>
      </c>
      <c r="E37" s="20" t="inlineStr">
        <is>
          <t>ООО «Крепёж-Опт»</t>
        </is>
      </c>
      <c r="F37" s="20" t="inlineStr">
        <is>
          <t>С-1713 от 09.03</t>
        </is>
      </c>
      <c r="G37" s="20" t="inlineStr">
        <is>
          <t>П668</t>
        </is>
      </c>
      <c r="H37" s="20" t="n">
        <v>50</v>
      </c>
      <c r="I37" s="18">
        <f>IF(C37="","",IFERROR(INDEX(Справочники!$C$6:$C$45,MATCH(C37,Справочники!$A$6:$A$45,0)),""))</f>
        <v/>
      </c>
      <c r="J37" s="22">
        <f>IF(C37="","",IFERROR(INDEX(Справочники!$E$6:$E$45,MATCH(C37,Справочники!$A$6:$A$45,0)),""))</f>
        <v/>
      </c>
      <c r="K37" s="23" t="inlineStr">
        <is>
          <t>Соответствует</t>
        </is>
      </c>
      <c r="L37" s="20" t="inlineStr">
        <is>
          <t>Принято</t>
        </is>
      </c>
      <c r="M37" s="19" t="n">
        <v>46092</v>
      </c>
      <c r="N37" s="20" t="inlineStr">
        <is>
          <t>Иванова Е.</t>
        </is>
      </c>
      <c r="O37" s="23" t="inlineStr"/>
      <c r="P37" s="18">
        <f>IF(B37="","",IF(M37="",IF(L37="Карантин",INT(TODAY())-B37,""),M37-B37))</f>
        <v/>
      </c>
      <c r="Q37" s="18">
        <f>IF(C37="","",IFERROR(INDEX(Справочники!$D$6:$D$45,MATCH(C37,Справочники!$A$6:$A$45,0)),""))</f>
        <v/>
      </c>
    </row>
    <row r="38">
      <c r="A38" s="18">
        <f>IF(B38="","",ROW()-5)</f>
        <v/>
      </c>
      <c r="B38" s="19" t="n">
        <v>46093</v>
      </c>
      <c r="C38" s="20" t="inlineStr">
        <is>
          <t>М-02</t>
        </is>
      </c>
      <c r="D38" s="21">
        <f>IF(C38="","",IFERROR(INDEX(Справочники!$B$6:$B$45,MATCH(C38,Справочники!$A$6:$A$45,0)),"нет в справочнике"))</f>
        <v/>
      </c>
      <c r="E38" s="20" t="inlineStr">
        <is>
          <t>АО «СтальПром»</t>
        </is>
      </c>
      <c r="F38" s="20" t="inlineStr">
        <is>
          <t>С-2498 от 12.03</t>
        </is>
      </c>
      <c r="G38" s="20" t="inlineStr">
        <is>
          <t>П422</t>
        </is>
      </c>
      <c r="H38" s="20" t="n">
        <v>15.4</v>
      </c>
      <c r="I38" s="18">
        <f>IF(C38="","",IFERROR(INDEX(Справочники!$C$6:$C$45,MATCH(C38,Справочники!$A$6:$A$45,0)),""))</f>
        <v/>
      </c>
      <c r="J38" s="22">
        <f>IF(C38="","",IFERROR(INDEX(Справочники!$E$6:$E$45,MATCH(C38,Справочники!$A$6:$A$45,0)),""))</f>
        <v/>
      </c>
      <c r="K38" s="23" t="inlineStr">
        <is>
          <t>Коррозия на поверхности</t>
        </is>
      </c>
      <c r="L38" s="20" t="inlineStr">
        <is>
          <t>Забраковано</t>
        </is>
      </c>
      <c r="M38" s="19" t="n">
        <v>46097</v>
      </c>
      <c r="N38" s="20" t="inlineStr">
        <is>
          <t>Орлова Т.</t>
        </is>
      </c>
      <c r="O38" s="23" t="inlineStr">
        <is>
          <t>Акт № 33</t>
        </is>
      </c>
      <c r="P38" s="18">
        <f>IF(B38="","",IF(M38="",IF(L38="Карантин",INT(TODAY())-B38,""),M38-B38))</f>
        <v/>
      </c>
      <c r="Q38" s="18">
        <f>IF(C38="","",IFERROR(INDEX(Справочники!$D$6:$D$45,MATCH(C38,Справочники!$A$6:$A$45,0)),""))</f>
        <v/>
      </c>
    </row>
    <row r="39">
      <c r="A39" s="18">
        <f>IF(B39="","",ROW()-5)</f>
        <v/>
      </c>
      <c r="B39" s="19" t="n">
        <v>46093</v>
      </c>
      <c r="C39" s="20" t="inlineStr">
        <is>
          <t>М-10</t>
        </is>
      </c>
      <c r="D39" s="21">
        <f>IF(C39="","",IFERROR(INDEX(Справочники!$B$6:$B$45,MATCH(C39,Справочники!$A$6:$A$45,0)),"нет в справочнике"))</f>
        <v/>
      </c>
      <c r="E39" s="20" t="inlineStr">
        <is>
          <t>ООО «Подшипник-Центр»</t>
        </is>
      </c>
      <c r="F39" s="20" t="inlineStr">
        <is>
          <t>С-4614 от 12.03</t>
        </is>
      </c>
      <c r="G39" s="20" t="inlineStr">
        <is>
          <t>П369</t>
        </is>
      </c>
      <c r="H39" s="20" t="n">
        <v>500</v>
      </c>
      <c r="I39" s="18">
        <f>IF(C39="","",IFERROR(INDEX(Справочники!$C$6:$C$45,MATCH(C39,Справочники!$A$6:$A$45,0)),""))</f>
        <v/>
      </c>
      <c r="J39" s="22">
        <f>IF(C39="","",IFERROR(INDEX(Справочники!$E$6:$E$45,MATCH(C39,Справочники!$A$6:$A$45,0)),""))</f>
        <v/>
      </c>
      <c r="K39" s="23" t="inlineStr">
        <is>
          <t>Соответствует</t>
        </is>
      </c>
      <c r="L39" s="20" t="inlineStr">
        <is>
          <t>Принято</t>
        </is>
      </c>
      <c r="M39" s="19" t="n">
        <v>46094</v>
      </c>
      <c r="N39" s="20" t="inlineStr">
        <is>
          <t>Иванова Е.</t>
        </is>
      </c>
      <c r="O39" s="23" t="inlineStr"/>
      <c r="P39" s="18">
        <f>IF(B39="","",IF(M39="",IF(L39="Карантин",INT(TODAY())-B39,""),M39-B39))</f>
        <v/>
      </c>
      <c r="Q39" s="18">
        <f>IF(C39="","",IFERROR(INDEX(Справочники!$D$6:$D$45,MATCH(C39,Справочники!$A$6:$A$45,0)),""))</f>
        <v/>
      </c>
    </row>
    <row r="40">
      <c r="A40" s="18">
        <f>IF(B40="","",ROW()-5)</f>
        <v/>
      </c>
      <c r="B40" s="19" t="n">
        <v>46096</v>
      </c>
      <c r="C40" s="20" t="inlineStr">
        <is>
          <t>М-05</t>
        </is>
      </c>
      <c r="D40" s="21">
        <f>IF(C40="","",IFERROR(INDEX(Справочники!$B$6:$B$45,MATCH(C40,Справочники!$A$6:$A$45,0)),"нет в справочнике"))</f>
        <v/>
      </c>
      <c r="E40" s="20" t="inlineStr">
        <is>
          <t>ООО «Крепёж-Опт»</t>
        </is>
      </c>
      <c r="F40" s="20" t="inlineStr">
        <is>
          <t>С-3937 от 15.03</t>
        </is>
      </c>
      <c r="G40" s="20" t="inlineStr">
        <is>
          <t>П234</t>
        </is>
      </c>
      <c r="H40" s="20" t="n">
        <v>1000</v>
      </c>
      <c r="I40" s="18">
        <f>IF(C40="","",IFERROR(INDEX(Справочники!$C$6:$C$45,MATCH(C40,Справочники!$A$6:$A$45,0)),""))</f>
        <v/>
      </c>
      <c r="J40" s="22">
        <f>IF(C40="","",IFERROR(INDEX(Справочники!$E$6:$E$45,MATCH(C40,Справочники!$A$6:$A$45,0)),""))</f>
        <v/>
      </c>
      <c r="K40" s="23" t="inlineStr">
        <is>
          <t>Соответствует</t>
        </is>
      </c>
      <c r="L40" s="20" t="inlineStr">
        <is>
          <t>Принято</t>
        </is>
      </c>
      <c r="M40" s="19" t="n">
        <v>46096</v>
      </c>
      <c r="N40" s="20" t="inlineStr">
        <is>
          <t>Орлова Т.</t>
        </is>
      </c>
      <c r="O40" s="23" t="inlineStr"/>
      <c r="P40" s="18">
        <f>IF(B40="","",IF(M40="",IF(L40="Карантин",INT(TODAY())-B40,""),M40-B40))</f>
        <v/>
      </c>
      <c r="Q40" s="18">
        <f>IF(C40="","",IFERROR(INDEX(Справочники!$D$6:$D$45,MATCH(C40,Справочники!$A$6:$A$45,0)),""))</f>
        <v/>
      </c>
    </row>
    <row r="41">
      <c r="A41" s="18">
        <f>IF(B41="","",ROW()-5)</f>
        <v/>
      </c>
      <c r="B41" s="19" t="n">
        <v>46097</v>
      </c>
      <c r="C41" s="20" t="inlineStr">
        <is>
          <t>М-02</t>
        </is>
      </c>
      <c r="D41" s="21">
        <f>IF(C41="","",IFERROR(INDEX(Справочники!$B$6:$B$45,MATCH(C41,Справочники!$A$6:$A$45,0)),"нет в справочнике"))</f>
        <v/>
      </c>
      <c r="E41" s="20" t="inlineStr">
        <is>
          <t>ООО «Металл-Сервис»</t>
        </is>
      </c>
      <c r="F41" s="20" t="inlineStr">
        <is>
          <t>С-8871 от 16.03</t>
        </is>
      </c>
      <c r="G41" s="20" t="inlineStr">
        <is>
          <t>П431</t>
        </is>
      </c>
      <c r="H41" s="20" t="n">
        <v>11.1</v>
      </c>
      <c r="I41" s="18">
        <f>IF(C41="","",IFERROR(INDEX(Справочники!$C$6:$C$45,MATCH(C41,Справочники!$A$6:$A$45,0)),""))</f>
        <v/>
      </c>
      <c r="J41" s="22">
        <f>IF(C41="","",IFERROR(INDEX(Справочники!$E$6:$E$45,MATCH(C41,Справочники!$A$6:$A$45,0)),""))</f>
        <v/>
      </c>
      <c r="K41" s="23" t="inlineStr">
        <is>
          <t>Соответствует</t>
        </is>
      </c>
      <c r="L41" s="20" t="inlineStr">
        <is>
          <t>Принято</t>
        </is>
      </c>
      <c r="M41" s="19" t="n">
        <v>46097</v>
      </c>
      <c r="N41" s="20" t="inlineStr">
        <is>
          <t>Иванова Е.</t>
        </is>
      </c>
      <c r="O41" s="23" t="inlineStr"/>
      <c r="P41" s="18">
        <f>IF(B41="","",IF(M41="",IF(L41="Карантин",INT(TODAY())-B41,""),M41-B41))</f>
        <v/>
      </c>
      <c r="Q41" s="18">
        <f>IF(C41="","",IFERROR(INDEX(Справочники!$D$6:$D$45,MATCH(C41,Справочники!$A$6:$A$45,0)),""))</f>
        <v/>
      </c>
    </row>
    <row r="42">
      <c r="A42" s="18">
        <f>IF(B42="","",ROW()-5)</f>
        <v/>
      </c>
      <c r="B42" s="19" t="n">
        <v>46103</v>
      </c>
      <c r="C42" s="20" t="inlineStr">
        <is>
          <t>М-01</t>
        </is>
      </c>
      <c r="D42" s="21">
        <f>IF(C42="","",IFERROR(INDEX(Справочники!$B$6:$B$45,MATCH(C42,Справочники!$A$6:$A$45,0)),"нет в справочнике"))</f>
        <v/>
      </c>
      <c r="E42" s="20" t="inlineStr">
        <is>
          <t>ООО «Металл-Сервис»</t>
        </is>
      </c>
      <c r="F42" s="20" t="inlineStr">
        <is>
          <t>С-4465 от 22.03</t>
        </is>
      </c>
      <c r="G42" s="20" t="inlineStr">
        <is>
          <t>П243</t>
        </is>
      </c>
      <c r="H42" s="20" t="n">
        <v>14.3</v>
      </c>
      <c r="I42" s="18">
        <f>IF(C42="","",IFERROR(INDEX(Справочники!$C$6:$C$45,MATCH(C42,Справочники!$A$6:$A$45,0)),""))</f>
        <v/>
      </c>
      <c r="J42" s="22">
        <f>IF(C42="","",IFERROR(INDEX(Справочники!$E$6:$E$45,MATCH(C42,Справочники!$A$6:$A$45,0)),""))</f>
        <v/>
      </c>
      <c r="K42" s="23" t="inlineStr">
        <is>
          <t>Соответствует</t>
        </is>
      </c>
      <c r="L42" s="20" t="inlineStr">
        <is>
          <t>Принято</t>
        </is>
      </c>
      <c r="M42" s="19" t="n">
        <v>46104</v>
      </c>
      <c r="N42" s="20" t="inlineStr">
        <is>
          <t>Орлова Т.</t>
        </is>
      </c>
      <c r="O42" s="23" t="inlineStr"/>
      <c r="P42" s="18">
        <f>IF(B42="","",IF(M42="",IF(L42="Карантин",INT(TODAY())-B42,""),M42-B42))</f>
        <v/>
      </c>
      <c r="Q42" s="18">
        <f>IF(C42="","",IFERROR(INDEX(Справочники!$D$6:$D$45,MATCH(C42,Справочники!$A$6:$A$45,0)),""))</f>
        <v/>
      </c>
    </row>
    <row r="43">
      <c r="A43" s="18">
        <f>IF(B43="","",ROW()-5)</f>
        <v/>
      </c>
      <c r="B43" s="19" t="n">
        <v>46103</v>
      </c>
      <c r="C43" s="20" t="inlineStr">
        <is>
          <t>М-10</t>
        </is>
      </c>
      <c r="D43" s="21">
        <f>IF(C43="","",IFERROR(INDEX(Справочники!$B$6:$B$45,MATCH(C43,Справочники!$A$6:$A$45,0)),"нет в справочнике"))</f>
        <v/>
      </c>
      <c r="E43" s="20" t="inlineStr">
        <is>
          <t>ООО «Подшипник-Центр»</t>
        </is>
      </c>
      <c r="F43" s="20" t="inlineStr">
        <is>
          <t>С-3235 от 22.03</t>
        </is>
      </c>
      <c r="G43" s="20" t="inlineStr">
        <is>
          <t>П840</t>
        </is>
      </c>
      <c r="H43" s="20" t="n">
        <v>500</v>
      </c>
      <c r="I43" s="18">
        <f>IF(C43="","",IFERROR(INDEX(Справочники!$C$6:$C$45,MATCH(C43,Справочники!$A$6:$A$45,0)),""))</f>
        <v/>
      </c>
      <c r="J43" s="22">
        <f>IF(C43="","",IFERROR(INDEX(Справочники!$E$6:$E$45,MATCH(C43,Справочники!$A$6:$A$45,0)),""))</f>
        <v/>
      </c>
      <c r="K43" s="23" t="inlineStr">
        <is>
          <t>Соответствует</t>
        </is>
      </c>
      <c r="L43" s="20" t="inlineStr">
        <is>
          <t>Принято</t>
        </is>
      </c>
      <c r="M43" s="19" t="n">
        <v>46103</v>
      </c>
      <c r="N43" s="20" t="inlineStr">
        <is>
          <t>Смирнов К.</t>
        </is>
      </c>
      <c r="O43" s="23" t="inlineStr"/>
      <c r="P43" s="18">
        <f>IF(B43="","",IF(M43="",IF(L43="Карантин",INT(TODAY())-B43,""),M43-B43))</f>
        <v/>
      </c>
      <c r="Q43" s="18">
        <f>IF(C43="","",IFERROR(INDEX(Справочники!$D$6:$D$45,MATCH(C43,Справочники!$A$6:$A$45,0)),""))</f>
        <v/>
      </c>
    </row>
    <row r="44">
      <c r="A44" s="18">
        <f>IF(B44="","",ROW()-5)</f>
        <v/>
      </c>
      <c r="B44" s="19" t="n">
        <v>46106</v>
      </c>
      <c r="C44" s="20" t="inlineStr">
        <is>
          <t>М-07</t>
        </is>
      </c>
      <c r="D44" s="21">
        <f>IF(C44="","",IFERROR(INDEX(Справочники!$B$6:$B$45,MATCH(C44,Справочники!$A$6:$A$45,0)),"нет в справочнике"))</f>
        <v/>
      </c>
      <c r="E44" s="20" t="inlineStr">
        <is>
          <t>ООО «Подшипник-Центр»</t>
        </is>
      </c>
      <c r="F44" s="20" t="inlineStr">
        <is>
          <t>С-2589 от 25.03</t>
        </is>
      </c>
      <c r="G44" s="20" t="inlineStr">
        <is>
          <t>П137</t>
        </is>
      </c>
      <c r="H44" s="20" t="n">
        <v>100</v>
      </c>
      <c r="I44" s="18">
        <f>IF(C44="","",IFERROR(INDEX(Справочники!$C$6:$C$45,MATCH(C44,Справочники!$A$6:$A$45,0)),""))</f>
        <v/>
      </c>
      <c r="J44" s="22">
        <f>IF(C44="","",IFERROR(INDEX(Справочники!$E$6:$E$45,MATCH(C44,Справочники!$A$6:$A$45,0)),""))</f>
        <v/>
      </c>
      <c r="K44" s="23" t="inlineStr">
        <is>
          <t>Соответствует</t>
        </is>
      </c>
      <c r="L44" s="20" t="inlineStr">
        <is>
          <t>Принято</t>
        </is>
      </c>
      <c r="M44" s="19" t="n">
        <v>46108</v>
      </c>
      <c r="N44" s="20" t="inlineStr">
        <is>
          <t>Иванова Е.</t>
        </is>
      </c>
      <c r="O44" s="23" t="inlineStr"/>
      <c r="P44" s="18">
        <f>IF(B44="","",IF(M44="",IF(L44="Карантин",INT(TODAY())-B44,""),M44-B44))</f>
        <v/>
      </c>
      <c r="Q44" s="18">
        <f>IF(C44="","",IFERROR(INDEX(Справочники!$D$6:$D$45,MATCH(C44,Справочники!$A$6:$A$45,0)),""))</f>
        <v/>
      </c>
    </row>
    <row r="45">
      <c r="A45" s="18">
        <f>IF(B45="","",ROW()-5)</f>
        <v/>
      </c>
      <c r="B45" s="19" t="n">
        <v>46107</v>
      </c>
      <c r="C45" s="20" t="inlineStr">
        <is>
          <t>М-04</t>
        </is>
      </c>
      <c r="D45" s="21">
        <f>IF(C45="","",IFERROR(INDEX(Справочники!$B$6:$B$45,MATCH(C45,Справочники!$A$6:$A$45,0)),"нет в справочнике"))</f>
        <v/>
      </c>
      <c r="E45" s="20" t="inlineStr">
        <is>
          <t>ООО «Колор-Покрытия»</t>
        </is>
      </c>
      <c r="F45" s="20" t="inlineStr">
        <is>
          <t>С-5924 от 26.03</t>
        </is>
      </c>
      <c r="G45" s="20" t="inlineStr">
        <is>
          <t>П734</t>
        </is>
      </c>
      <c r="H45" s="20" t="n">
        <v>500</v>
      </c>
      <c r="I45" s="18">
        <f>IF(C45="","",IFERROR(INDEX(Справочники!$C$6:$C$45,MATCH(C45,Справочники!$A$6:$A$45,0)),""))</f>
        <v/>
      </c>
      <c r="J45" s="22">
        <f>IF(C45="","",IFERROR(INDEX(Справочники!$E$6:$E$45,MATCH(C45,Справочники!$A$6:$A$45,0)),""))</f>
        <v/>
      </c>
      <c r="K45" s="23" t="inlineStr">
        <is>
          <t>Соответствует</t>
        </is>
      </c>
      <c r="L45" s="20" t="inlineStr">
        <is>
          <t>Принято</t>
        </is>
      </c>
      <c r="M45" s="19" t="n">
        <v>46108</v>
      </c>
      <c r="N45" s="20" t="inlineStr">
        <is>
          <t>Смирнов К.</t>
        </is>
      </c>
      <c r="O45" s="23" t="inlineStr"/>
      <c r="P45" s="18">
        <f>IF(B45="","",IF(M45="",IF(L45="Карантин",INT(TODAY())-B45,""),M45-B45))</f>
        <v/>
      </c>
      <c r="Q45" s="18">
        <f>IF(C45="","",IFERROR(INDEX(Справочники!$D$6:$D$45,MATCH(C45,Справочники!$A$6:$A$45,0)),""))</f>
        <v/>
      </c>
    </row>
    <row r="46">
      <c r="A46" s="18">
        <f>IF(B46="","",ROW()-5)</f>
        <v/>
      </c>
      <c r="B46" s="19" t="n">
        <v>46109</v>
      </c>
      <c r="C46" s="20" t="inlineStr">
        <is>
          <t>М-08</t>
        </is>
      </c>
      <c r="D46" s="21">
        <f>IF(C46="","",IFERROR(INDEX(Справочники!$B$6:$B$45,MATCH(C46,Справочники!$A$6:$A$45,0)),"нет в справочнике"))</f>
        <v/>
      </c>
      <c r="E46" s="20" t="inlineStr">
        <is>
          <t>ООО «КабельТорг»</t>
        </is>
      </c>
      <c r="F46" s="20" t="inlineStr">
        <is>
          <t>С-2806 от 28.03</t>
        </is>
      </c>
      <c r="G46" s="20" t="inlineStr">
        <is>
          <t>П384</t>
        </is>
      </c>
      <c r="H46" s="20" t="n">
        <v>500</v>
      </c>
      <c r="I46" s="18">
        <f>IF(C46="","",IFERROR(INDEX(Справочники!$C$6:$C$45,MATCH(C46,Справочники!$A$6:$A$45,0)),""))</f>
        <v/>
      </c>
      <c r="J46" s="22">
        <f>IF(C46="","",IFERROR(INDEX(Справочники!$E$6:$E$45,MATCH(C46,Справочники!$A$6:$A$45,0)),""))</f>
        <v/>
      </c>
      <c r="K46" s="23" t="inlineStr">
        <is>
          <t>Соответствует</t>
        </is>
      </c>
      <c r="L46" s="20" t="inlineStr">
        <is>
          <t>Принято</t>
        </is>
      </c>
      <c r="M46" s="19" t="n">
        <v>46109</v>
      </c>
      <c r="N46" s="20" t="inlineStr">
        <is>
          <t>Иванова Е.</t>
        </is>
      </c>
      <c r="O46" s="23" t="inlineStr"/>
      <c r="P46" s="18">
        <f>IF(B46="","",IF(M46="",IF(L46="Карантин",INT(TODAY())-B46,""),M46-B46))</f>
        <v/>
      </c>
      <c r="Q46" s="18">
        <f>IF(C46="","",IFERROR(INDEX(Справочники!$D$6:$D$45,MATCH(C46,Справочники!$A$6:$A$45,0)),""))</f>
        <v/>
      </c>
    </row>
    <row r="47">
      <c r="A47" s="18">
        <f>IF(B47="","",ROW()-5)</f>
        <v/>
      </c>
      <c r="B47" s="19" t="n">
        <v>46109</v>
      </c>
      <c r="C47" s="20" t="inlineStr">
        <is>
          <t>М-05</t>
        </is>
      </c>
      <c r="D47" s="21">
        <f>IF(C47="","",IFERROR(INDEX(Справочники!$B$6:$B$45,MATCH(C47,Справочники!$A$6:$A$45,0)),"нет в справочнике"))</f>
        <v/>
      </c>
      <c r="E47" s="20" t="inlineStr">
        <is>
          <t>ООО «Крепёж-Опт»</t>
        </is>
      </c>
      <c r="F47" s="20" t="inlineStr">
        <is>
          <t>С-8481 от 28.03</t>
        </is>
      </c>
      <c r="G47" s="20" t="inlineStr">
        <is>
          <t>П583</t>
        </is>
      </c>
      <c r="H47" s="20" t="n">
        <v>500</v>
      </c>
      <c r="I47" s="18">
        <f>IF(C47="","",IFERROR(INDEX(Справочники!$C$6:$C$45,MATCH(C47,Справочники!$A$6:$A$45,0)),""))</f>
        <v/>
      </c>
      <c r="J47" s="22">
        <f>IF(C47="","",IFERROR(INDEX(Справочники!$E$6:$E$45,MATCH(C47,Справочники!$A$6:$A$45,0)),""))</f>
        <v/>
      </c>
      <c r="K47" s="23" t="inlineStr">
        <is>
          <t>Соответствует</t>
        </is>
      </c>
      <c r="L47" s="20" t="inlineStr">
        <is>
          <t>Принято</t>
        </is>
      </c>
      <c r="M47" s="19" t="n">
        <v>46109</v>
      </c>
      <c r="N47" s="20" t="inlineStr">
        <is>
          <t>Иванова Е.</t>
        </is>
      </c>
      <c r="O47" s="23" t="inlineStr"/>
      <c r="P47" s="18">
        <f>IF(B47="","",IF(M47="",IF(L47="Карантин",INT(TODAY())-B47,""),M47-B47))</f>
        <v/>
      </c>
      <c r="Q47" s="18">
        <f>IF(C47="","",IFERROR(INDEX(Справочники!$D$6:$D$45,MATCH(C47,Справочники!$A$6:$A$45,0)),""))</f>
        <v/>
      </c>
    </row>
    <row r="48">
      <c r="A48" s="18">
        <f>IF(B48="","",ROW()-5)</f>
        <v/>
      </c>
      <c r="B48" s="19" t="n">
        <v>46110</v>
      </c>
      <c r="C48" s="20" t="inlineStr">
        <is>
          <t>М-05</t>
        </is>
      </c>
      <c r="D48" s="21">
        <f>IF(C48="","",IFERROR(INDEX(Справочники!$B$6:$B$45,MATCH(C48,Справочники!$A$6:$A$45,0)),"нет в справочнике"))</f>
        <v/>
      </c>
      <c r="E48" s="20" t="inlineStr">
        <is>
          <t>ООО «Крепёж-Опт»</t>
        </is>
      </c>
      <c r="F48" s="20" t="inlineStr">
        <is>
          <t>С-2281 от 29.03</t>
        </is>
      </c>
      <c r="G48" s="20" t="inlineStr">
        <is>
          <t>П732</t>
        </is>
      </c>
      <c r="H48" s="20" t="n">
        <v>50</v>
      </c>
      <c r="I48" s="18">
        <f>IF(C48="","",IFERROR(INDEX(Справочники!$C$6:$C$45,MATCH(C48,Справочники!$A$6:$A$45,0)),""))</f>
        <v/>
      </c>
      <c r="J48" s="22">
        <f>IF(C48="","",IFERROR(INDEX(Справочники!$E$6:$E$45,MATCH(C48,Справочники!$A$6:$A$45,0)),""))</f>
        <v/>
      </c>
      <c r="K48" s="23" t="inlineStr">
        <is>
          <t>Соответствует</t>
        </is>
      </c>
      <c r="L48" s="20" t="inlineStr">
        <is>
          <t>Принято</t>
        </is>
      </c>
      <c r="M48" s="19" t="n">
        <v>46110</v>
      </c>
      <c r="N48" s="20" t="inlineStr">
        <is>
          <t>Смирнов К.</t>
        </is>
      </c>
      <c r="O48" s="23" t="inlineStr"/>
      <c r="P48" s="18">
        <f>IF(B48="","",IF(M48="",IF(L48="Карантин",INT(TODAY())-B48,""),M48-B48))</f>
        <v/>
      </c>
      <c r="Q48" s="18">
        <f>IF(C48="","",IFERROR(INDEX(Справочники!$D$6:$D$45,MATCH(C48,Справочники!$A$6:$A$45,0)),""))</f>
        <v/>
      </c>
    </row>
    <row r="49">
      <c r="A49" s="18">
        <f>IF(B49="","",ROW()-5)</f>
        <v/>
      </c>
      <c r="B49" s="19" t="n">
        <v>46113</v>
      </c>
      <c r="C49" s="20" t="inlineStr">
        <is>
          <t>М-05</t>
        </is>
      </c>
      <c r="D49" s="21">
        <f>IF(C49="","",IFERROR(INDEX(Справочники!$B$6:$B$45,MATCH(C49,Справочники!$A$6:$A$45,0)),"нет в справочнике"))</f>
        <v/>
      </c>
      <c r="E49" s="20" t="inlineStr">
        <is>
          <t>ООО «Крепёж-Опт»</t>
        </is>
      </c>
      <c r="F49" s="20" t="inlineStr">
        <is>
          <t>С-3877 от 01.04</t>
        </is>
      </c>
      <c r="G49" s="20" t="inlineStr">
        <is>
          <t>П788</t>
        </is>
      </c>
      <c r="H49" s="20" t="n">
        <v>1000</v>
      </c>
      <c r="I49" s="18">
        <f>IF(C49="","",IFERROR(INDEX(Справочники!$C$6:$C$45,MATCH(C49,Справочники!$A$6:$A$45,0)),""))</f>
        <v/>
      </c>
      <c r="J49" s="22">
        <f>IF(C49="","",IFERROR(INDEX(Справочники!$E$6:$E$45,MATCH(C49,Справочники!$A$6:$A$45,0)),""))</f>
        <v/>
      </c>
      <c r="K49" s="23" t="inlineStr">
        <is>
          <t>Соответствует</t>
        </is>
      </c>
      <c r="L49" s="20" t="inlineStr">
        <is>
          <t>Принято</t>
        </is>
      </c>
      <c r="M49" s="19" t="n">
        <v>46114</v>
      </c>
      <c r="N49" s="20" t="inlineStr">
        <is>
          <t>Иванова Е.</t>
        </is>
      </c>
      <c r="O49" s="23" t="inlineStr"/>
      <c r="P49" s="18">
        <f>IF(B49="","",IF(M49="",IF(L49="Карантин",INT(TODAY())-B49,""),M49-B49))</f>
        <v/>
      </c>
      <c r="Q49" s="18">
        <f>IF(C49="","",IFERROR(INDEX(Справочники!$D$6:$D$45,MATCH(C49,Справочники!$A$6:$A$45,0)),""))</f>
        <v/>
      </c>
    </row>
    <row r="50">
      <c r="A50" s="18">
        <f>IF(B50="","",ROW()-5)</f>
        <v/>
      </c>
      <c r="B50" s="19" t="n">
        <v>46114</v>
      </c>
      <c r="C50" s="20" t="inlineStr">
        <is>
          <t>М-05</t>
        </is>
      </c>
      <c r="D50" s="21">
        <f>IF(C50="","",IFERROR(INDEX(Справочники!$B$6:$B$45,MATCH(C50,Справочники!$A$6:$A$45,0)),"нет в справочнике"))</f>
        <v/>
      </c>
      <c r="E50" s="20" t="inlineStr">
        <is>
          <t>ООО «Крепёж-Опт»</t>
        </is>
      </c>
      <c r="F50" s="20" t="inlineStr">
        <is>
          <t>С-9985 от 02.04</t>
        </is>
      </c>
      <c r="G50" s="20" t="inlineStr">
        <is>
          <t>П955</t>
        </is>
      </c>
      <c r="H50" s="20" t="n">
        <v>100</v>
      </c>
      <c r="I50" s="18">
        <f>IF(C50="","",IFERROR(INDEX(Справочники!$C$6:$C$45,MATCH(C50,Справочники!$A$6:$A$45,0)),""))</f>
        <v/>
      </c>
      <c r="J50" s="22">
        <f>IF(C50="","",IFERROR(INDEX(Справочники!$E$6:$E$45,MATCH(C50,Справочники!$A$6:$A$45,0)),""))</f>
        <v/>
      </c>
      <c r="K50" s="23" t="inlineStr">
        <is>
          <t>Соответствует</t>
        </is>
      </c>
      <c r="L50" s="20" t="inlineStr">
        <is>
          <t>Принято</t>
        </is>
      </c>
      <c r="M50" s="19" t="n">
        <v>46115</v>
      </c>
      <c r="N50" s="20" t="inlineStr">
        <is>
          <t>Орлова Т.</t>
        </is>
      </c>
      <c r="O50" s="23" t="inlineStr"/>
      <c r="P50" s="18">
        <f>IF(B50="","",IF(M50="",IF(L50="Карантин",INT(TODAY())-B50,""),M50-B50))</f>
        <v/>
      </c>
      <c r="Q50" s="18">
        <f>IF(C50="","",IFERROR(INDEX(Справочники!$D$6:$D$45,MATCH(C50,Справочники!$A$6:$A$45,0)),""))</f>
        <v/>
      </c>
    </row>
    <row r="51">
      <c r="A51" s="18">
        <f>IF(B51="","",ROW()-5)</f>
        <v/>
      </c>
      <c r="B51" s="19" t="n">
        <v>46114</v>
      </c>
      <c r="C51" s="20" t="inlineStr">
        <is>
          <t>М-10</t>
        </is>
      </c>
      <c r="D51" s="21">
        <f>IF(C51="","",IFERROR(INDEX(Справочники!$B$6:$B$45,MATCH(C51,Справочники!$A$6:$A$45,0)),"нет в справочнике"))</f>
        <v/>
      </c>
      <c r="E51" s="20" t="inlineStr">
        <is>
          <t>ООО «Подшипник-Центр»</t>
        </is>
      </c>
      <c r="F51" s="20" t="inlineStr">
        <is>
          <t>С-4988 от 02.04</t>
        </is>
      </c>
      <c r="G51" s="20" t="inlineStr">
        <is>
          <t>П759</t>
        </is>
      </c>
      <c r="H51" s="20" t="n">
        <v>50</v>
      </c>
      <c r="I51" s="18">
        <f>IF(C51="","",IFERROR(INDEX(Справочники!$C$6:$C$45,MATCH(C51,Справочники!$A$6:$A$45,0)),""))</f>
        <v/>
      </c>
      <c r="J51" s="22">
        <f>IF(C51="","",IFERROR(INDEX(Справочники!$E$6:$E$45,MATCH(C51,Справочники!$A$6:$A$45,0)),""))</f>
        <v/>
      </c>
      <c r="K51" s="23" t="inlineStr">
        <is>
          <t>Соответствует</t>
        </is>
      </c>
      <c r="L51" s="20" t="inlineStr">
        <is>
          <t>Принято</t>
        </is>
      </c>
      <c r="M51" s="19" t="n">
        <v>46114</v>
      </c>
      <c r="N51" s="20" t="inlineStr">
        <is>
          <t>Иванова Е.</t>
        </is>
      </c>
      <c r="O51" s="23" t="inlineStr"/>
      <c r="P51" s="18">
        <f>IF(B51="","",IF(M51="",IF(L51="Карантин",INT(TODAY())-B51,""),M51-B51))</f>
        <v/>
      </c>
      <c r="Q51" s="18">
        <f>IF(C51="","",IFERROR(INDEX(Справочники!$D$6:$D$45,MATCH(C51,Справочники!$A$6:$A$45,0)),""))</f>
        <v/>
      </c>
    </row>
    <row r="52">
      <c r="A52" s="18">
        <f>IF(B52="","",ROW()-5)</f>
        <v/>
      </c>
      <c r="B52" s="19" t="n">
        <v>46116</v>
      </c>
      <c r="C52" s="20" t="inlineStr">
        <is>
          <t>М-01</t>
        </is>
      </c>
      <c r="D52" s="21">
        <f>IF(C52="","",IFERROR(INDEX(Справочники!$B$6:$B$45,MATCH(C52,Справочники!$A$6:$A$45,0)),"нет в справочнике"))</f>
        <v/>
      </c>
      <c r="E52" s="20" t="inlineStr">
        <is>
          <t>ООО «Металл-Сервис»</t>
        </is>
      </c>
      <c r="F52" s="20" t="inlineStr">
        <is>
          <t>С-3939 от 04.04</t>
        </is>
      </c>
      <c r="G52" s="20" t="inlineStr">
        <is>
          <t>П812</t>
        </is>
      </c>
      <c r="H52" s="20" t="n">
        <v>10</v>
      </c>
      <c r="I52" s="18">
        <f>IF(C52="","",IFERROR(INDEX(Справочники!$C$6:$C$45,MATCH(C52,Справочники!$A$6:$A$45,0)),""))</f>
        <v/>
      </c>
      <c r="J52" s="22">
        <f>IF(C52="","",IFERROR(INDEX(Справочники!$E$6:$E$45,MATCH(C52,Справочники!$A$6:$A$45,0)),""))</f>
        <v/>
      </c>
      <c r="K52" s="23" t="inlineStr">
        <is>
          <t>Соответствует</t>
        </is>
      </c>
      <c r="L52" s="20" t="inlineStr">
        <is>
          <t>Принято</t>
        </is>
      </c>
      <c r="M52" s="19" t="n">
        <v>46117</v>
      </c>
      <c r="N52" s="20" t="inlineStr">
        <is>
          <t>Орлова Т.</t>
        </is>
      </c>
      <c r="O52" s="23" t="inlineStr"/>
      <c r="P52" s="18">
        <f>IF(B52="","",IF(M52="",IF(L52="Карантин",INT(TODAY())-B52,""),M52-B52))</f>
        <v/>
      </c>
      <c r="Q52" s="18">
        <f>IF(C52="","",IFERROR(INDEX(Справочники!$D$6:$D$45,MATCH(C52,Справочники!$A$6:$A$45,0)),""))</f>
        <v/>
      </c>
    </row>
    <row r="53">
      <c r="A53" s="18">
        <f>IF(B53="","",ROW()-5)</f>
        <v/>
      </c>
      <c r="B53" s="19" t="n">
        <v>46116</v>
      </c>
      <c r="C53" s="20" t="inlineStr">
        <is>
          <t>М-07</t>
        </is>
      </c>
      <c r="D53" s="21">
        <f>IF(C53="","",IFERROR(INDEX(Справочники!$B$6:$B$45,MATCH(C53,Справочники!$A$6:$A$45,0)),"нет в справочнике"))</f>
        <v/>
      </c>
      <c r="E53" s="20" t="inlineStr">
        <is>
          <t>ООО «Подшипник-Центр»</t>
        </is>
      </c>
      <c r="F53" s="20" t="inlineStr">
        <is>
          <t>С-2234 от 04.04</t>
        </is>
      </c>
      <c r="G53" s="20" t="inlineStr">
        <is>
          <t>П977</t>
        </is>
      </c>
      <c r="H53" s="20" t="n">
        <v>50</v>
      </c>
      <c r="I53" s="18">
        <f>IF(C53="","",IFERROR(INDEX(Справочники!$C$6:$C$45,MATCH(C53,Справочники!$A$6:$A$45,0)),""))</f>
        <v/>
      </c>
      <c r="J53" s="22">
        <f>IF(C53="","",IFERROR(INDEX(Справочники!$E$6:$E$45,MATCH(C53,Справочники!$A$6:$A$45,0)),""))</f>
        <v/>
      </c>
      <c r="K53" s="23" t="inlineStr">
        <is>
          <t>Соответствует</t>
        </is>
      </c>
      <c r="L53" s="20" t="inlineStr">
        <is>
          <t>Принято</t>
        </is>
      </c>
      <c r="M53" s="19" t="n">
        <v>46116</v>
      </c>
      <c r="N53" s="20" t="inlineStr">
        <is>
          <t>Орлова Т.</t>
        </is>
      </c>
      <c r="O53" s="23" t="inlineStr"/>
      <c r="P53" s="18">
        <f>IF(B53="","",IF(M53="",IF(L53="Карантин",INT(TODAY())-B53,""),M53-B53))</f>
        <v/>
      </c>
      <c r="Q53" s="18">
        <f>IF(C53="","",IFERROR(INDEX(Справочники!$D$6:$D$45,MATCH(C53,Справочники!$A$6:$A$45,0)),""))</f>
        <v/>
      </c>
    </row>
    <row r="54">
      <c r="A54" s="18">
        <f>IF(B54="","",ROW()-5)</f>
        <v/>
      </c>
      <c r="B54" s="19" t="n">
        <v>46119</v>
      </c>
      <c r="C54" s="20" t="inlineStr">
        <is>
          <t>М-08</t>
        </is>
      </c>
      <c r="D54" s="21">
        <f>IF(C54="","",IFERROR(INDEX(Справочники!$B$6:$B$45,MATCH(C54,Справочники!$A$6:$A$45,0)),"нет в справочнике"))</f>
        <v/>
      </c>
      <c r="E54" s="20" t="inlineStr">
        <is>
          <t>ООО «КабельТорг»</t>
        </is>
      </c>
      <c r="F54" s="20" t="inlineStr">
        <is>
          <t>С-4669 от 07.04</t>
        </is>
      </c>
      <c r="G54" s="20" t="inlineStr">
        <is>
          <t>П667</t>
        </is>
      </c>
      <c r="H54" s="20" t="n">
        <v>1000</v>
      </c>
      <c r="I54" s="18">
        <f>IF(C54="","",IFERROR(INDEX(Справочники!$C$6:$C$45,MATCH(C54,Справочники!$A$6:$A$45,0)),""))</f>
        <v/>
      </c>
      <c r="J54" s="22">
        <f>IF(C54="","",IFERROR(INDEX(Справочники!$E$6:$E$45,MATCH(C54,Справочники!$A$6:$A$45,0)),""))</f>
        <v/>
      </c>
      <c r="K54" s="23" t="inlineStr">
        <is>
          <t>Соответствует</t>
        </is>
      </c>
      <c r="L54" s="20" t="inlineStr">
        <is>
          <t>Принято</t>
        </is>
      </c>
      <c r="M54" s="19" t="n">
        <v>46120</v>
      </c>
      <c r="N54" s="20" t="inlineStr">
        <is>
          <t>Иванова Е.</t>
        </is>
      </c>
      <c r="O54" s="23" t="inlineStr"/>
      <c r="P54" s="18">
        <f>IF(B54="","",IF(M54="",IF(L54="Карантин",INT(TODAY())-B54,""),M54-B54))</f>
        <v/>
      </c>
      <c r="Q54" s="18">
        <f>IF(C54="","",IFERROR(INDEX(Справочники!$D$6:$D$45,MATCH(C54,Справочники!$A$6:$A$45,0)),""))</f>
        <v/>
      </c>
    </row>
    <row r="55">
      <c r="A55" s="18">
        <f>IF(B55="","",ROW()-5)</f>
        <v/>
      </c>
      <c r="B55" s="19" t="n">
        <v>46120</v>
      </c>
      <c r="C55" s="20" t="inlineStr">
        <is>
          <t>М-08</t>
        </is>
      </c>
      <c r="D55" s="21">
        <f>IF(C55="","",IFERROR(INDEX(Справочники!$B$6:$B$45,MATCH(C55,Справочники!$A$6:$A$45,0)),"нет в справочнике"))</f>
        <v/>
      </c>
      <c r="E55" s="20" t="inlineStr">
        <is>
          <t>ООО «КабельТорг»</t>
        </is>
      </c>
      <c r="F55" s="20" t="inlineStr">
        <is>
          <t>С-8726 от 08.04</t>
        </is>
      </c>
      <c r="G55" s="20" t="inlineStr">
        <is>
          <t>П350</t>
        </is>
      </c>
      <c r="H55" s="20" t="n">
        <v>500</v>
      </c>
      <c r="I55" s="18">
        <f>IF(C55="","",IFERROR(INDEX(Справочники!$C$6:$C$45,MATCH(C55,Справочники!$A$6:$A$45,0)),""))</f>
        <v/>
      </c>
      <c r="J55" s="22">
        <f>IF(C55="","",IFERROR(INDEX(Справочники!$E$6:$E$45,MATCH(C55,Справочники!$A$6:$A$45,0)),""))</f>
        <v/>
      </c>
      <c r="K55" s="23" t="inlineStr">
        <is>
          <t>Соответствует</t>
        </is>
      </c>
      <c r="L55" s="20" t="inlineStr">
        <is>
          <t>Принято</t>
        </is>
      </c>
      <c r="M55" s="19" t="n">
        <v>46121</v>
      </c>
      <c r="N55" s="20" t="inlineStr">
        <is>
          <t>Орлова Т.</t>
        </is>
      </c>
      <c r="O55" s="23" t="inlineStr"/>
      <c r="P55" s="18">
        <f>IF(B55="","",IF(M55="",IF(L55="Карантин",INT(TODAY())-B55,""),M55-B55))</f>
        <v/>
      </c>
      <c r="Q55" s="18">
        <f>IF(C55="","",IFERROR(INDEX(Справочники!$D$6:$D$45,MATCH(C55,Справочники!$A$6:$A$45,0)),""))</f>
        <v/>
      </c>
    </row>
    <row r="56">
      <c r="A56" s="18">
        <f>IF(B56="","",ROW()-5)</f>
        <v/>
      </c>
      <c r="B56" s="19" t="n">
        <v>46121</v>
      </c>
      <c r="C56" s="20" t="inlineStr">
        <is>
          <t>М-10</t>
        </is>
      </c>
      <c r="D56" s="21">
        <f>IF(C56="","",IFERROR(INDEX(Справочники!$B$6:$B$45,MATCH(C56,Справочники!$A$6:$A$45,0)),"нет в справочнике"))</f>
        <v/>
      </c>
      <c r="E56" s="20" t="inlineStr">
        <is>
          <t>ООО «Подшипник-Центр»</t>
        </is>
      </c>
      <c r="F56" s="20" t="inlineStr">
        <is>
          <t>С-2614 от 09.04</t>
        </is>
      </c>
      <c r="G56" s="20" t="inlineStr">
        <is>
          <t>П173</t>
        </is>
      </c>
      <c r="H56" s="20" t="n">
        <v>100</v>
      </c>
      <c r="I56" s="18">
        <f>IF(C56="","",IFERROR(INDEX(Справочники!$C$6:$C$45,MATCH(C56,Справочники!$A$6:$A$45,0)),""))</f>
        <v/>
      </c>
      <c r="J56" s="22">
        <f>IF(C56="","",IFERROR(INDEX(Справочники!$E$6:$E$45,MATCH(C56,Справочники!$A$6:$A$45,0)),""))</f>
        <v/>
      </c>
      <c r="K56" s="23" t="inlineStr">
        <is>
          <t>Соответствует</t>
        </is>
      </c>
      <c r="L56" s="20" t="inlineStr">
        <is>
          <t>Принято</t>
        </is>
      </c>
      <c r="M56" s="19" t="n">
        <v>46122</v>
      </c>
      <c r="N56" s="20" t="inlineStr">
        <is>
          <t>Смирнов К.</t>
        </is>
      </c>
      <c r="O56" s="23" t="inlineStr"/>
      <c r="P56" s="18">
        <f>IF(B56="","",IF(M56="",IF(L56="Карантин",INT(TODAY())-B56,""),M56-B56))</f>
        <v/>
      </c>
      <c r="Q56" s="18">
        <f>IF(C56="","",IFERROR(INDEX(Справочники!$D$6:$D$45,MATCH(C56,Справочники!$A$6:$A$45,0)),""))</f>
        <v/>
      </c>
    </row>
    <row r="57">
      <c r="A57" s="18">
        <f>IF(B57="","",ROW()-5)</f>
        <v/>
      </c>
      <c r="B57" s="19" t="n">
        <v>46121</v>
      </c>
      <c r="C57" s="20" t="inlineStr">
        <is>
          <t>М-06</t>
        </is>
      </c>
      <c r="D57" s="21">
        <f>IF(C57="","",IFERROR(INDEX(Справочники!$B$6:$B$45,MATCH(C57,Справочники!$A$6:$A$45,0)),"нет в справочнике"))</f>
        <v/>
      </c>
      <c r="E57" s="20" t="inlineStr">
        <is>
          <t>ООО «ЭлектроМаш»</t>
        </is>
      </c>
      <c r="F57" s="20" t="inlineStr">
        <is>
          <t>С-8244 от 09.04</t>
        </is>
      </c>
      <c r="G57" s="20" t="inlineStr">
        <is>
          <t>П246</t>
        </is>
      </c>
      <c r="H57" s="20" t="n">
        <v>100</v>
      </c>
      <c r="I57" s="18">
        <f>IF(C57="","",IFERROR(INDEX(Справочники!$C$6:$C$45,MATCH(C57,Справочники!$A$6:$A$45,0)),""))</f>
        <v/>
      </c>
      <c r="J57" s="22">
        <f>IF(C57="","",IFERROR(INDEX(Справочники!$E$6:$E$45,MATCH(C57,Справочники!$A$6:$A$45,0)),""))</f>
        <v/>
      </c>
      <c r="K57" s="23" t="inlineStr">
        <is>
          <t>Соответствует</t>
        </is>
      </c>
      <c r="L57" s="20" t="inlineStr">
        <is>
          <t>Принято</t>
        </is>
      </c>
      <c r="M57" s="19" t="n">
        <v>46123</v>
      </c>
      <c r="N57" s="20" t="inlineStr">
        <is>
          <t>Орлова Т.</t>
        </is>
      </c>
      <c r="O57" s="23" t="inlineStr"/>
      <c r="P57" s="18">
        <f>IF(B57="","",IF(M57="",IF(L57="Карантин",INT(TODAY())-B57,""),M57-B57))</f>
        <v/>
      </c>
      <c r="Q57" s="18">
        <f>IF(C57="","",IFERROR(INDEX(Справочники!$D$6:$D$45,MATCH(C57,Справочники!$A$6:$A$45,0)),""))</f>
        <v/>
      </c>
    </row>
    <row r="58">
      <c r="A58" s="18">
        <f>IF(B58="","",ROW()-5)</f>
        <v/>
      </c>
      <c r="B58" s="19" t="n">
        <v>46130</v>
      </c>
      <c r="C58" s="20" t="inlineStr">
        <is>
          <t>М-05</t>
        </is>
      </c>
      <c r="D58" s="21">
        <f>IF(C58="","",IFERROR(INDEX(Справочники!$B$6:$B$45,MATCH(C58,Справочники!$A$6:$A$45,0)),"нет в справочнике"))</f>
        <v/>
      </c>
      <c r="E58" s="20" t="inlineStr">
        <is>
          <t>ООО «Крепёж-Опт»</t>
        </is>
      </c>
      <c r="F58" s="20" t="inlineStr">
        <is>
          <t>С-3250 от 18.04</t>
        </is>
      </c>
      <c r="G58" s="20" t="inlineStr">
        <is>
          <t>П368</t>
        </is>
      </c>
      <c r="H58" s="20" t="n">
        <v>50</v>
      </c>
      <c r="I58" s="18">
        <f>IF(C58="","",IFERROR(INDEX(Справочники!$C$6:$C$45,MATCH(C58,Справочники!$A$6:$A$45,0)),""))</f>
        <v/>
      </c>
      <c r="J58" s="22">
        <f>IF(C58="","",IFERROR(INDEX(Справочники!$E$6:$E$45,MATCH(C58,Справочники!$A$6:$A$45,0)),""))</f>
        <v/>
      </c>
      <c r="K58" s="23" t="inlineStr">
        <is>
          <t>Соответствует</t>
        </is>
      </c>
      <c r="L58" s="20" t="inlineStr">
        <is>
          <t>Принято</t>
        </is>
      </c>
      <c r="M58" s="19" t="n">
        <v>46131</v>
      </c>
      <c r="N58" s="20" t="inlineStr">
        <is>
          <t>Смирнов К.</t>
        </is>
      </c>
      <c r="O58" s="23" t="inlineStr"/>
      <c r="P58" s="18">
        <f>IF(B58="","",IF(M58="",IF(L58="Карантин",INT(TODAY())-B58,""),M58-B58))</f>
        <v/>
      </c>
      <c r="Q58" s="18">
        <f>IF(C58="","",IFERROR(INDEX(Справочники!$D$6:$D$45,MATCH(C58,Справочники!$A$6:$A$45,0)),""))</f>
        <v/>
      </c>
    </row>
    <row r="59">
      <c r="A59" s="18">
        <f>IF(B59="","",ROW()-5)</f>
        <v/>
      </c>
      <c r="B59" s="19" t="n">
        <v>46130</v>
      </c>
      <c r="C59" s="20" t="inlineStr">
        <is>
          <t>М-06</t>
        </is>
      </c>
      <c r="D59" s="21">
        <f>IF(C59="","",IFERROR(INDEX(Справочники!$B$6:$B$45,MATCH(C59,Справочники!$A$6:$A$45,0)),"нет в справочнике"))</f>
        <v/>
      </c>
      <c r="E59" s="20" t="inlineStr">
        <is>
          <t>ООО «ЭлектроМаш»</t>
        </is>
      </c>
      <c r="F59" s="20" t="inlineStr">
        <is>
          <t>С-1829 от 18.04</t>
        </is>
      </c>
      <c r="G59" s="20" t="inlineStr">
        <is>
          <t>П233</t>
        </is>
      </c>
      <c r="H59" s="20" t="n">
        <v>50</v>
      </c>
      <c r="I59" s="18">
        <f>IF(C59="","",IFERROR(INDEX(Справочники!$C$6:$C$45,MATCH(C59,Справочники!$A$6:$A$45,0)),""))</f>
        <v/>
      </c>
      <c r="J59" s="22">
        <f>IF(C59="","",IFERROR(INDEX(Справочники!$E$6:$E$45,MATCH(C59,Справочники!$A$6:$A$45,0)),""))</f>
        <v/>
      </c>
      <c r="K59" s="23" t="inlineStr">
        <is>
          <t>Соответствует</t>
        </is>
      </c>
      <c r="L59" s="20" t="inlineStr">
        <is>
          <t>Принято</t>
        </is>
      </c>
      <c r="M59" s="19" t="n">
        <v>46132</v>
      </c>
      <c r="N59" s="20" t="inlineStr">
        <is>
          <t>Смирнов К.</t>
        </is>
      </c>
      <c r="O59" s="23" t="inlineStr"/>
      <c r="P59" s="18">
        <f>IF(B59="","",IF(M59="",IF(L59="Карантин",INT(TODAY())-B59,""),M59-B59))</f>
        <v/>
      </c>
      <c r="Q59" s="18">
        <f>IF(C59="","",IFERROR(INDEX(Справочники!$D$6:$D$45,MATCH(C59,Справочники!$A$6:$A$45,0)),""))</f>
        <v/>
      </c>
    </row>
    <row r="60">
      <c r="A60" s="18">
        <f>IF(B60="","",ROW()-5)</f>
        <v/>
      </c>
      <c r="B60" s="19" t="n">
        <v>46132</v>
      </c>
      <c r="C60" s="20" t="inlineStr">
        <is>
          <t>М-10</t>
        </is>
      </c>
      <c r="D60" s="21">
        <f>IF(C60="","",IFERROR(INDEX(Справочники!$B$6:$B$45,MATCH(C60,Справочники!$A$6:$A$45,0)),"нет в справочнике"))</f>
        <v/>
      </c>
      <c r="E60" s="20" t="inlineStr">
        <is>
          <t>ООО «Подшипник-Центр»</t>
        </is>
      </c>
      <c r="F60" s="20" t="inlineStr">
        <is>
          <t>С-3675 от 20.04</t>
        </is>
      </c>
      <c r="G60" s="20" t="inlineStr">
        <is>
          <t>П698</t>
        </is>
      </c>
      <c r="H60" s="20" t="n">
        <v>500</v>
      </c>
      <c r="I60" s="18">
        <f>IF(C60="","",IFERROR(INDEX(Справочники!$C$6:$C$45,MATCH(C60,Справочники!$A$6:$A$45,0)),""))</f>
        <v/>
      </c>
      <c r="J60" s="22">
        <f>IF(C60="","",IFERROR(INDEX(Справочники!$E$6:$E$45,MATCH(C60,Справочники!$A$6:$A$45,0)),""))</f>
        <v/>
      </c>
      <c r="K60" s="23" t="inlineStr">
        <is>
          <t>Соответствует</t>
        </is>
      </c>
      <c r="L60" s="20" t="inlineStr">
        <is>
          <t>Принято</t>
        </is>
      </c>
      <c r="M60" s="19" t="n">
        <v>46133</v>
      </c>
      <c r="N60" s="20" t="inlineStr">
        <is>
          <t>Орлова Т.</t>
        </is>
      </c>
      <c r="O60" s="23" t="inlineStr"/>
      <c r="P60" s="18">
        <f>IF(B60="","",IF(M60="",IF(L60="Карантин",INT(TODAY())-B60,""),M60-B60))</f>
        <v/>
      </c>
      <c r="Q60" s="18">
        <f>IF(C60="","",IFERROR(INDEX(Справочники!$D$6:$D$45,MATCH(C60,Справочники!$A$6:$A$45,0)),""))</f>
        <v/>
      </c>
    </row>
    <row r="61">
      <c r="A61" s="18">
        <f>IF(B61="","",ROW()-5)</f>
        <v/>
      </c>
      <c r="B61" s="19" t="n">
        <v>46135</v>
      </c>
      <c r="C61" s="20" t="inlineStr">
        <is>
          <t>М-03</t>
        </is>
      </c>
      <c r="D61" s="21">
        <f>IF(C61="","",IFERROR(INDEX(Справочники!$B$6:$B$45,MATCH(C61,Справочники!$A$6:$A$45,0)),"нет в справочнике"))</f>
        <v/>
      </c>
      <c r="E61" s="20" t="inlineStr">
        <is>
          <t>ООО «СварТехСнаб»</t>
        </is>
      </c>
      <c r="F61" s="20" t="inlineStr">
        <is>
          <t>С-4740 от 23.04</t>
        </is>
      </c>
      <c r="G61" s="20" t="inlineStr">
        <is>
          <t>П572</t>
        </is>
      </c>
      <c r="H61" s="20" t="n">
        <v>200</v>
      </c>
      <c r="I61" s="18">
        <f>IF(C61="","",IFERROR(INDEX(Справочники!$C$6:$C$45,MATCH(C61,Справочники!$A$6:$A$45,0)),""))</f>
        <v/>
      </c>
      <c r="J61" s="22">
        <f>IF(C61="","",IFERROR(INDEX(Справочники!$E$6:$E$45,MATCH(C61,Справочники!$A$6:$A$45,0)),""))</f>
        <v/>
      </c>
      <c r="K61" s="23" t="inlineStr">
        <is>
          <t>Соответствует</t>
        </is>
      </c>
      <c r="L61" s="20" t="inlineStr">
        <is>
          <t>Принято</t>
        </is>
      </c>
      <c r="M61" s="19" t="n">
        <v>46136</v>
      </c>
      <c r="N61" s="20" t="inlineStr">
        <is>
          <t>Орлова Т.</t>
        </is>
      </c>
      <c r="O61" s="23" t="inlineStr"/>
      <c r="P61" s="18">
        <f>IF(B61="","",IF(M61="",IF(L61="Карантин",INT(TODAY())-B61,""),M61-B61))</f>
        <v/>
      </c>
      <c r="Q61" s="18">
        <f>IF(C61="","",IFERROR(INDEX(Справочники!$D$6:$D$45,MATCH(C61,Справочники!$A$6:$A$45,0)),""))</f>
        <v/>
      </c>
    </row>
    <row r="62">
      <c r="A62" s="18">
        <f>IF(B62="","",ROW()-5)</f>
        <v/>
      </c>
      <c r="B62" s="19" t="n">
        <v>46137</v>
      </c>
      <c r="C62" s="20" t="inlineStr">
        <is>
          <t>М-08</t>
        </is>
      </c>
      <c r="D62" s="21">
        <f>IF(C62="","",IFERROR(INDEX(Справочники!$B$6:$B$45,MATCH(C62,Справочники!$A$6:$A$45,0)),"нет в справочнике"))</f>
        <v/>
      </c>
      <c r="E62" s="20" t="inlineStr">
        <is>
          <t>ООО «КабельТорг»</t>
        </is>
      </c>
      <c r="F62" s="20" t="inlineStr">
        <is>
          <t>С-7872 от 25.04</t>
        </is>
      </c>
      <c r="G62" s="20" t="inlineStr">
        <is>
          <t>П801</t>
        </is>
      </c>
      <c r="H62" s="20" t="n">
        <v>500</v>
      </c>
      <c r="I62" s="18">
        <f>IF(C62="","",IFERROR(INDEX(Справочники!$C$6:$C$45,MATCH(C62,Справочники!$A$6:$A$45,0)),""))</f>
        <v/>
      </c>
      <c r="J62" s="22">
        <f>IF(C62="","",IFERROR(INDEX(Справочники!$E$6:$E$45,MATCH(C62,Справочники!$A$6:$A$45,0)),""))</f>
        <v/>
      </c>
      <c r="K62" s="23" t="inlineStr">
        <is>
          <t>Соответствует</t>
        </is>
      </c>
      <c r="L62" s="20" t="inlineStr">
        <is>
          <t>Принято</t>
        </is>
      </c>
      <c r="M62" s="19" t="n">
        <v>46137</v>
      </c>
      <c r="N62" s="20" t="inlineStr">
        <is>
          <t>Иванова Е.</t>
        </is>
      </c>
      <c r="O62" s="23" t="inlineStr"/>
      <c r="P62" s="18">
        <f>IF(B62="","",IF(M62="",IF(L62="Карантин",INT(TODAY())-B62,""),M62-B62))</f>
        <v/>
      </c>
      <c r="Q62" s="18">
        <f>IF(C62="","",IFERROR(INDEX(Справочники!$D$6:$D$45,MATCH(C62,Справочники!$A$6:$A$45,0)),""))</f>
        <v/>
      </c>
    </row>
    <row r="63">
      <c r="A63" s="18">
        <f>IF(B63="","",ROW()-5)</f>
        <v/>
      </c>
      <c r="B63" s="19" t="n">
        <v>46139</v>
      </c>
      <c r="C63" s="20" t="inlineStr">
        <is>
          <t>М-08</t>
        </is>
      </c>
      <c r="D63" s="21">
        <f>IF(C63="","",IFERROR(INDEX(Справочники!$B$6:$B$45,MATCH(C63,Справочники!$A$6:$A$45,0)),"нет в справочнике"))</f>
        <v/>
      </c>
      <c r="E63" s="20" t="inlineStr">
        <is>
          <t>ООО «КабельТорг»</t>
        </is>
      </c>
      <c r="F63" s="20" t="inlineStr">
        <is>
          <t>С-4957 от 27.04</t>
        </is>
      </c>
      <c r="G63" s="20" t="inlineStr">
        <is>
          <t>П475</t>
        </is>
      </c>
      <c r="H63" s="20" t="n">
        <v>2000</v>
      </c>
      <c r="I63" s="18">
        <f>IF(C63="","",IFERROR(INDEX(Справочники!$C$6:$C$45,MATCH(C63,Справочники!$A$6:$A$45,0)),""))</f>
        <v/>
      </c>
      <c r="J63" s="22">
        <f>IF(C63="","",IFERROR(INDEX(Справочники!$E$6:$E$45,MATCH(C63,Справочники!$A$6:$A$45,0)),""))</f>
        <v/>
      </c>
      <c r="K63" s="23" t="inlineStr">
        <is>
          <t>Соответствует</t>
        </is>
      </c>
      <c r="L63" s="20" t="inlineStr">
        <is>
          <t>Принято</t>
        </is>
      </c>
      <c r="M63" s="19" t="n">
        <v>46139</v>
      </c>
      <c r="N63" s="20" t="inlineStr">
        <is>
          <t>Смирнов К.</t>
        </is>
      </c>
      <c r="O63" s="23" t="inlineStr"/>
      <c r="P63" s="18">
        <f>IF(B63="","",IF(M63="",IF(L63="Карантин",INT(TODAY())-B63,""),M63-B63))</f>
        <v/>
      </c>
      <c r="Q63" s="18">
        <f>IF(C63="","",IFERROR(INDEX(Справочники!$D$6:$D$45,MATCH(C63,Справочники!$A$6:$A$45,0)),""))</f>
        <v/>
      </c>
    </row>
    <row r="64">
      <c r="A64" s="18">
        <f>IF(B64="","",ROW()-5)</f>
        <v/>
      </c>
      <c r="B64" s="19" t="n">
        <v>46143</v>
      </c>
      <c r="C64" s="20" t="inlineStr">
        <is>
          <t>М-07</t>
        </is>
      </c>
      <c r="D64" s="21">
        <f>IF(C64="","",IFERROR(INDEX(Справочники!$B$6:$B$45,MATCH(C64,Справочники!$A$6:$A$45,0)),"нет в справочнике"))</f>
        <v/>
      </c>
      <c r="E64" s="20" t="inlineStr">
        <is>
          <t>ООО «Подшипник-Центр»</t>
        </is>
      </c>
      <c r="F64" s="20" t="inlineStr">
        <is>
          <t>С-2617 от 01.05</t>
        </is>
      </c>
      <c r="G64" s="20" t="inlineStr">
        <is>
          <t>П871</t>
        </is>
      </c>
      <c r="H64" s="20" t="n">
        <v>50</v>
      </c>
      <c r="I64" s="18">
        <f>IF(C64="","",IFERROR(INDEX(Справочники!$C$6:$C$45,MATCH(C64,Справочники!$A$6:$A$45,0)),""))</f>
        <v/>
      </c>
      <c r="J64" s="22">
        <f>IF(C64="","",IFERROR(INDEX(Справочники!$E$6:$E$45,MATCH(C64,Справочники!$A$6:$A$45,0)),""))</f>
        <v/>
      </c>
      <c r="K64" s="23" t="inlineStr">
        <is>
          <t>Соответствует</t>
        </is>
      </c>
      <c r="L64" s="20" t="inlineStr">
        <is>
          <t>Принято</t>
        </is>
      </c>
      <c r="M64" s="19" t="n">
        <v>46143</v>
      </c>
      <c r="N64" s="20" t="inlineStr">
        <is>
          <t>Орлова Т.</t>
        </is>
      </c>
      <c r="O64" s="23" t="inlineStr"/>
      <c r="P64" s="18">
        <f>IF(B64="","",IF(M64="",IF(L64="Карантин",INT(TODAY())-B64,""),M64-B64))</f>
        <v/>
      </c>
      <c r="Q64" s="18">
        <f>IF(C64="","",IFERROR(INDEX(Справочники!$D$6:$D$45,MATCH(C64,Справочники!$A$6:$A$45,0)),""))</f>
        <v/>
      </c>
    </row>
    <row r="65">
      <c r="A65" s="18">
        <f>IF(B65="","",ROW()-5)</f>
        <v/>
      </c>
      <c r="B65" s="19" t="n">
        <v>46143</v>
      </c>
      <c r="C65" s="20" t="inlineStr">
        <is>
          <t>М-05</t>
        </is>
      </c>
      <c r="D65" s="21">
        <f>IF(C65="","",IFERROR(INDEX(Справочники!$B$6:$B$45,MATCH(C65,Справочники!$A$6:$A$45,0)),"нет в справочнике"))</f>
        <v/>
      </c>
      <c r="E65" s="20" t="inlineStr">
        <is>
          <t>ООО «Крепёж-Опт»</t>
        </is>
      </c>
      <c r="F65" s="20" t="inlineStr">
        <is>
          <t>С-1165 от 01.05</t>
        </is>
      </c>
      <c r="G65" s="20" t="inlineStr">
        <is>
          <t>П206</t>
        </is>
      </c>
      <c r="H65" s="20" t="n">
        <v>50</v>
      </c>
      <c r="I65" s="18">
        <f>IF(C65="","",IFERROR(INDEX(Справочники!$C$6:$C$45,MATCH(C65,Справочники!$A$6:$A$45,0)),""))</f>
        <v/>
      </c>
      <c r="J65" s="22">
        <f>IF(C65="","",IFERROR(INDEX(Справочники!$E$6:$E$45,MATCH(C65,Справочники!$A$6:$A$45,0)),""))</f>
        <v/>
      </c>
      <c r="K65" s="23" t="inlineStr">
        <is>
          <t>Соответствует</t>
        </is>
      </c>
      <c r="L65" s="20" t="inlineStr">
        <is>
          <t>Принято</t>
        </is>
      </c>
      <c r="M65" s="19" t="n">
        <v>46144</v>
      </c>
      <c r="N65" s="20" t="inlineStr">
        <is>
          <t>Орлова Т.</t>
        </is>
      </c>
      <c r="O65" s="23" t="inlineStr"/>
      <c r="P65" s="18">
        <f>IF(B65="","",IF(M65="",IF(L65="Карантин",INT(TODAY())-B65,""),M65-B65))</f>
        <v/>
      </c>
      <c r="Q65" s="18">
        <f>IF(C65="","",IFERROR(INDEX(Справочники!$D$6:$D$45,MATCH(C65,Справочники!$A$6:$A$45,0)),""))</f>
        <v/>
      </c>
    </row>
    <row r="66">
      <c r="A66" s="18">
        <f>IF(B66="","",ROW()-5)</f>
        <v/>
      </c>
      <c r="B66" s="19" t="n">
        <v>46146</v>
      </c>
      <c r="C66" s="20" t="inlineStr">
        <is>
          <t>М-07</t>
        </is>
      </c>
      <c r="D66" s="21">
        <f>IF(C66="","",IFERROR(INDEX(Справочники!$B$6:$B$45,MATCH(C66,Справочники!$A$6:$A$45,0)),"нет в справочнике"))</f>
        <v/>
      </c>
      <c r="E66" s="20" t="inlineStr">
        <is>
          <t>ООО «Подшипник-Центр»</t>
        </is>
      </c>
      <c r="F66" s="20" t="inlineStr">
        <is>
          <t>С-9940 от 04.05</t>
        </is>
      </c>
      <c r="G66" s="20" t="inlineStr">
        <is>
          <t>П820</t>
        </is>
      </c>
      <c r="H66" s="20" t="n">
        <v>1000</v>
      </c>
      <c r="I66" s="18">
        <f>IF(C66="","",IFERROR(INDEX(Справочники!$C$6:$C$45,MATCH(C66,Справочники!$A$6:$A$45,0)),""))</f>
        <v/>
      </c>
      <c r="J66" s="22">
        <f>IF(C66="","",IFERROR(INDEX(Справочники!$E$6:$E$45,MATCH(C66,Справочники!$A$6:$A$45,0)),""))</f>
        <v/>
      </c>
      <c r="K66" s="23" t="inlineStr">
        <is>
          <t>Соответствует</t>
        </is>
      </c>
      <c r="L66" s="20" t="inlineStr">
        <is>
          <t>Принято</t>
        </is>
      </c>
      <c r="M66" s="19" t="n">
        <v>46146</v>
      </c>
      <c r="N66" s="20" t="inlineStr">
        <is>
          <t>Орлова Т.</t>
        </is>
      </c>
      <c r="O66" s="23" t="inlineStr"/>
      <c r="P66" s="18">
        <f>IF(B66="","",IF(M66="",IF(L66="Карантин",INT(TODAY())-B66,""),M66-B66))</f>
        <v/>
      </c>
      <c r="Q66" s="18">
        <f>IF(C66="","",IFERROR(INDEX(Справочники!$D$6:$D$45,MATCH(C66,Справочники!$A$6:$A$45,0)),""))</f>
        <v/>
      </c>
    </row>
    <row r="67">
      <c r="A67" s="18">
        <f>IF(B67="","",ROW()-5)</f>
        <v/>
      </c>
      <c r="B67" s="19" t="n">
        <v>46148</v>
      </c>
      <c r="C67" s="20" t="inlineStr">
        <is>
          <t>М-10</t>
        </is>
      </c>
      <c r="D67" s="21">
        <f>IF(C67="","",IFERROR(INDEX(Справочники!$B$6:$B$45,MATCH(C67,Справочники!$A$6:$A$45,0)),"нет в справочнике"))</f>
        <v/>
      </c>
      <c r="E67" s="20" t="inlineStr">
        <is>
          <t>ООО «Подшипник-Центр»</t>
        </is>
      </c>
      <c r="F67" s="20" t="inlineStr">
        <is>
          <t>С-5655 от 06.05</t>
        </is>
      </c>
      <c r="G67" s="20" t="inlineStr">
        <is>
          <t>П393</t>
        </is>
      </c>
      <c r="H67" s="20" t="n">
        <v>50</v>
      </c>
      <c r="I67" s="18">
        <f>IF(C67="","",IFERROR(INDEX(Справочники!$C$6:$C$45,MATCH(C67,Справочники!$A$6:$A$45,0)),""))</f>
        <v/>
      </c>
      <c r="J67" s="22">
        <f>IF(C67="","",IFERROR(INDEX(Справочники!$E$6:$E$45,MATCH(C67,Справочники!$A$6:$A$45,0)),""))</f>
        <v/>
      </c>
      <c r="K67" s="23" t="inlineStr">
        <is>
          <t>Соответствует</t>
        </is>
      </c>
      <c r="L67" s="20" t="inlineStr">
        <is>
          <t>Принято</t>
        </is>
      </c>
      <c r="M67" s="19" t="n">
        <v>46149</v>
      </c>
      <c r="N67" s="20" t="inlineStr">
        <is>
          <t>Иванова Е.</t>
        </is>
      </c>
      <c r="O67" s="23" t="inlineStr"/>
      <c r="P67" s="18">
        <f>IF(B67="","",IF(M67="",IF(L67="Карантин",INT(TODAY())-B67,""),M67-B67))</f>
        <v/>
      </c>
      <c r="Q67" s="18">
        <f>IF(C67="","",IFERROR(INDEX(Справочники!$D$6:$D$45,MATCH(C67,Справочники!$A$6:$A$45,0)),""))</f>
        <v/>
      </c>
    </row>
    <row r="68">
      <c r="A68" s="18">
        <f>IF(B68="","",ROW()-5)</f>
        <v/>
      </c>
      <c r="B68" s="19" t="n">
        <v>46148</v>
      </c>
      <c r="C68" s="20" t="inlineStr">
        <is>
          <t>М-01</t>
        </is>
      </c>
      <c r="D68" s="21">
        <f>IF(C68="","",IFERROR(INDEX(Справочники!$B$6:$B$45,MATCH(C68,Справочники!$A$6:$A$45,0)),"нет в справочнике"))</f>
        <v/>
      </c>
      <c r="E68" s="20" t="inlineStr">
        <is>
          <t>ООО «Металл-Сервис»</t>
        </is>
      </c>
      <c r="F68" s="20" t="inlineStr">
        <is>
          <t>С-5499 от 06.05</t>
        </is>
      </c>
      <c r="G68" s="20" t="inlineStr">
        <is>
          <t>П833</t>
        </is>
      </c>
      <c r="H68" s="20" t="n">
        <v>12.4</v>
      </c>
      <c r="I68" s="18">
        <f>IF(C68="","",IFERROR(INDEX(Справочники!$C$6:$C$45,MATCH(C68,Справочники!$A$6:$A$45,0)),""))</f>
        <v/>
      </c>
      <c r="J68" s="22">
        <f>IF(C68="","",IFERROR(INDEX(Справочники!$E$6:$E$45,MATCH(C68,Справочники!$A$6:$A$45,0)),""))</f>
        <v/>
      </c>
      <c r="K68" s="23" t="inlineStr">
        <is>
          <t>Соответствует</t>
        </is>
      </c>
      <c r="L68" s="20" t="inlineStr">
        <is>
          <t>Принято</t>
        </is>
      </c>
      <c r="M68" s="19" t="n">
        <v>46150</v>
      </c>
      <c r="N68" s="20" t="inlineStr">
        <is>
          <t>Иванова Е.</t>
        </is>
      </c>
      <c r="O68" s="23" t="inlineStr"/>
      <c r="P68" s="18">
        <f>IF(B68="","",IF(M68="",IF(L68="Карантин",INT(TODAY())-B68,""),M68-B68))</f>
        <v/>
      </c>
      <c r="Q68" s="18">
        <f>IF(C68="","",IFERROR(INDEX(Справочники!$D$6:$D$45,MATCH(C68,Справочники!$A$6:$A$45,0)),""))</f>
        <v/>
      </c>
    </row>
    <row r="69">
      <c r="A69" s="18">
        <f>IF(B69="","",ROW()-5)</f>
        <v/>
      </c>
      <c r="B69" s="19" t="n">
        <v>46150</v>
      </c>
      <c r="C69" s="20" t="inlineStr">
        <is>
          <t>М-06</t>
        </is>
      </c>
      <c r="D69" s="21">
        <f>IF(C69="","",IFERROR(INDEX(Справочники!$B$6:$B$45,MATCH(C69,Справочники!$A$6:$A$45,0)),"нет в справочнике"))</f>
        <v/>
      </c>
      <c r="E69" s="20" t="inlineStr">
        <is>
          <t>ООО «ЭлектроМаш»</t>
        </is>
      </c>
      <c r="F69" s="20" t="inlineStr">
        <is>
          <t>С-7445 от 08.05</t>
        </is>
      </c>
      <c r="G69" s="20" t="inlineStr">
        <is>
          <t>П103</t>
        </is>
      </c>
      <c r="H69" s="20" t="n">
        <v>500</v>
      </c>
      <c r="I69" s="18">
        <f>IF(C69="","",IFERROR(INDEX(Справочники!$C$6:$C$45,MATCH(C69,Справочники!$A$6:$A$45,0)),""))</f>
        <v/>
      </c>
      <c r="J69" s="22">
        <f>IF(C69="","",IFERROR(INDEX(Справочники!$E$6:$E$45,MATCH(C69,Справочники!$A$6:$A$45,0)),""))</f>
        <v/>
      </c>
      <c r="K69" s="23" t="inlineStr">
        <is>
          <t>Соответствует</t>
        </is>
      </c>
      <c r="L69" s="20" t="inlineStr">
        <is>
          <t>Принято</t>
        </is>
      </c>
      <c r="M69" s="19" t="n">
        <v>46150</v>
      </c>
      <c r="N69" s="20" t="inlineStr">
        <is>
          <t>Орлова Т.</t>
        </is>
      </c>
      <c r="O69" s="23" t="inlineStr"/>
      <c r="P69" s="18">
        <f>IF(B69="","",IF(M69="",IF(L69="Карантин",INT(TODAY())-B69,""),M69-B69))</f>
        <v/>
      </c>
      <c r="Q69" s="18">
        <f>IF(C69="","",IFERROR(INDEX(Справочники!$D$6:$D$45,MATCH(C69,Справочники!$A$6:$A$45,0)),""))</f>
        <v/>
      </c>
    </row>
    <row r="70">
      <c r="A70" s="18">
        <f>IF(B70="","",ROW()-5)</f>
        <v/>
      </c>
      <c r="B70" s="19" t="n">
        <v>46152</v>
      </c>
      <c r="C70" s="20" t="inlineStr">
        <is>
          <t>М-03</t>
        </is>
      </c>
      <c r="D70" s="21">
        <f>IF(C70="","",IFERROR(INDEX(Справочники!$B$6:$B$45,MATCH(C70,Справочники!$A$6:$A$45,0)),"нет в справочнике"))</f>
        <v/>
      </c>
      <c r="E70" s="20" t="inlineStr">
        <is>
          <t>ООО «СварТехСнаб»</t>
        </is>
      </c>
      <c r="F70" s="20" t="inlineStr">
        <is>
          <t>С-5079 от 10.05</t>
        </is>
      </c>
      <c r="G70" s="20" t="inlineStr">
        <is>
          <t>П202</t>
        </is>
      </c>
      <c r="H70" s="20" t="n">
        <v>500</v>
      </c>
      <c r="I70" s="18">
        <f>IF(C70="","",IFERROR(INDEX(Справочники!$C$6:$C$45,MATCH(C70,Справочники!$A$6:$A$45,0)),""))</f>
        <v/>
      </c>
      <c r="J70" s="22">
        <f>IF(C70="","",IFERROR(INDEX(Справочники!$E$6:$E$45,MATCH(C70,Справочники!$A$6:$A$45,0)),""))</f>
        <v/>
      </c>
      <c r="K70" s="23" t="inlineStr">
        <is>
          <t>Соответствует</t>
        </is>
      </c>
      <c r="L70" s="20" t="inlineStr">
        <is>
          <t>Принято</t>
        </is>
      </c>
      <c r="M70" s="19" t="n">
        <v>46154</v>
      </c>
      <c r="N70" s="20" t="inlineStr">
        <is>
          <t>Иванова Е.</t>
        </is>
      </c>
      <c r="O70" s="23" t="inlineStr"/>
      <c r="P70" s="18">
        <f>IF(B70="","",IF(M70="",IF(L70="Карантин",INT(TODAY())-B70,""),M70-B70))</f>
        <v/>
      </c>
      <c r="Q70" s="18">
        <f>IF(C70="","",IFERROR(INDEX(Справочники!$D$6:$D$45,MATCH(C70,Справочники!$A$6:$A$45,0)),""))</f>
        <v/>
      </c>
    </row>
    <row r="71">
      <c r="A71" s="18">
        <f>IF(B71="","",ROW()-5)</f>
        <v/>
      </c>
      <c r="B71" s="19" t="n">
        <v>46152</v>
      </c>
      <c r="C71" s="20" t="inlineStr">
        <is>
          <t>М-05</t>
        </is>
      </c>
      <c r="D71" s="21">
        <f>IF(C71="","",IFERROR(INDEX(Справочники!$B$6:$B$45,MATCH(C71,Справочники!$A$6:$A$45,0)),"нет в справочнике"))</f>
        <v/>
      </c>
      <c r="E71" s="20" t="inlineStr">
        <is>
          <t>ООО «Крепёж-Опт»</t>
        </is>
      </c>
      <c r="F71" s="20" t="inlineStr">
        <is>
          <t>С-4038 от 10.05</t>
        </is>
      </c>
      <c r="G71" s="20" t="inlineStr">
        <is>
          <t>П330</t>
        </is>
      </c>
      <c r="H71" s="20" t="n">
        <v>50</v>
      </c>
      <c r="I71" s="18">
        <f>IF(C71="","",IFERROR(INDEX(Справочники!$C$6:$C$45,MATCH(C71,Справочники!$A$6:$A$45,0)),""))</f>
        <v/>
      </c>
      <c r="J71" s="22">
        <f>IF(C71="","",IFERROR(INDEX(Справочники!$E$6:$E$45,MATCH(C71,Справочники!$A$6:$A$45,0)),""))</f>
        <v/>
      </c>
      <c r="K71" s="23" t="inlineStr">
        <is>
          <t>Соответствует</t>
        </is>
      </c>
      <c r="L71" s="20" t="inlineStr">
        <is>
          <t>Принято</t>
        </is>
      </c>
      <c r="M71" s="19" t="n">
        <v>46154</v>
      </c>
      <c r="N71" s="20" t="inlineStr">
        <is>
          <t>Орлова Т.</t>
        </is>
      </c>
      <c r="O71" s="23" t="inlineStr"/>
      <c r="P71" s="18">
        <f>IF(B71="","",IF(M71="",IF(L71="Карантин",INT(TODAY())-B71,""),M71-B71))</f>
        <v/>
      </c>
      <c r="Q71" s="18">
        <f>IF(C71="","",IFERROR(INDEX(Справочники!$D$6:$D$45,MATCH(C71,Справочники!$A$6:$A$45,0)),""))</f>
        <v/>
      </c>
    </row>
    <row r="72">
      <c r="A72" s="18">
        <f>IF(B72="","",ROW()-5)</f>
        <v/>
      </c>
      <c r="B72" s="19" t="n">
        <v>46153</v>
      </c>
      <c r="C72" s="20" t="inlineStr">
        <is>
          <t>М-07</t>
        </is>
      </c>
      <c r="D72" s="21">
        <f>IF(C72="","",IFERROR(INDEX(Справочники!$B$6:$B$45,MATCH(C72,Справочники!$A$6:$A$45,0)),"нет в справочнике"))</f>
        <v/>
      </c>
      <c r="E72" s="20" t="inlineStr">
        <is>
          <t>ООО «Подшипник-Центр»</t>
        </is>
      </c>
      <c r="F72" s="20" t="inlineStr">
        <is>
          <t>С-2383 от 11.05</t>
        </is>
      </c>
      <c r="G72" s="20" t="inlineStr">
        <is>
          <t>П719</t>
        </is>
      </c>
      <c r="H72" s="20" t="n">
        <v>500</v>
      </c>
      <c r="I72" s="18">
        <f>IF(C72="","",IFERROR(INDEX(Справочники!$C$6:$C$45,MATCH(C72,Справочники!$A$6:$A$45,0)),""))</f>
        <v/>
      </c>
      <c r="J72" s="22">
        <f>IF(C72="","",IFERROR(INDEX(Справочники!$E$6:$E$45,MATCH(C72,Справочники!$A$6:$A$45,0)),""))</f>
        <v/>
      </c>
      <c r="K72" s="23" t="inlineStr">
        <is>
          <t>Соответствует</t>
        </is>
      </c>
      <c r="L72" s="20" t="inlineStr">
        <is>
          <t>Принято</t>
        </is>
      </c>
      <c r="M72" s="19" t="n">
        <v>46155</v>
      </c>
      <c r="N72" s="20" t="inlineStr">
        <is>
          <t>Смирнов К.</t>
        </is>
      </c>
      <c r="O72" s="23" t="inlineStr"/>
      <c r="P72" s="18">
        <f>IF(B72="","",IF(M72="",IF(L72="Карантин",INT(TODAY())-B72,""),M72-B72))</f>
        <v/>
      </c>
      <c r="Q72" s="18">
        <f>IF(C72="","",IFERROR(INDEX(Справочники!$D$6:$D$45,MATCH(C72,Справочники!$A$6:$A$45,0)),""))</f>
        <v/>
      </c>
    </row>
    <row r="73">
      <c r="A73" s="18">
        <f>IF(B73="","",ROW()-5)</f>
        <v/>
      </c>
      <c r="B73" s="19" t="n">
        <v>46153</v>
      </c>
      <c r="C73" s="20" t="inlineStr">
        <is>
          <t>М-03</t>
        </is>
      </c>
      <c r="D73" s="21">
        <f>IF(C73="","",IFERROR(INDEX(Справочники!$B$6:$B$45,MATCH(C73,Справочники!$A$6:$A$45,0)),"нет в справочнике"))</f>
        <v/>
      </c>
      <c r="E73" s="20" t="inlineStr">
        <is>
          <t>ООО «СварТехСнаб»</t>
        </is>
      </c>
      <c r="F73" s="20" t="inlineStr">
        <is>
          <t>С-6342 от 11.05</t>
        </is>
      </c>
      <c r="G73" s="20" t="inlineStr">
        <is>
          <t>П708</t>
        </is>
      </c>
      <c r="H73" s="20" t="n">
        <v>1000</v>
      </c>
      <c r="I73" s="18">
        <f>IF(C73="","",IFERROR(INDEX(Справочники!$C$6:$C$45,MATCH(C73,Справочники!$A$6:$A$45,0)),""))</f>
        <v/>
      </c>
      <c r="J73" s="22">
        <f>IF(C73="","",IFERROR(INDEX(Справочники!$E$6:$E$45,MATCH(C73,Справочники!$A$6:$A$45,0)),""))</f>
        <v/>
      </c>
      <c r="K73" s="23" t="inlineStr">
        <is>
          <t>Соответствует</t>
        </is>
      </c>
      <c r="L73" s="20" t="inlineStr">
        <is>
          <t>Принято</t>
        </is>
      </c>
      <c r="M73" s="19" t="n">
        <v>46153</v>
      </c>
      <c r="N73" s="20" t="inlineStr">
        <is>
          <t>Иванова Е.</t>
        </is>
      </c>
      <c r="O73" s="23" t="inlineStr"/>
      <c r="P73" s="18">
        <f>IF(B73="","",IF(M73="",IF(L73="Карантин",INT(TODAY())-B73,""),M73-B73))</f>
        <v/>
      </c>
      <c r="Q73" s="18">
        <f>IF(C73="","",IFERROR(INDEX(Справочники!$D$6:$D$45,MATCH(C73,Справочники!$A$6:$A$45,0)),""))</f>
        <v/>
      </c>
    </row>
    <row r="74">
      <c r="A74" s="18">
        <f>IF(B74="","",ROW()-5)</f>
        <v/>
      </c>
      <c r="B74" s="19" t="n">
        <v>46156</v>
      </c>
      <c r="C74" s="20" t="inlineStr">
        <is>
          <t>М-02</t>
        </is>
      </c>
      <c r="D74" s="21">
        <f>IF(C74="","",IFERROR(INDEX(Справочники!$B$6:$B$45,MATCH(C74,Справочники!$A$6:$A$45,0)),"нет в справочнике"))</f>
        <v/>
      </c>
      <c r="E74" s="20" t="inlineStr">
        <is>
          <t>ООО «Металл-Сервис»</t>
        </is>
      </c>
      <c r="F74" s="20" t="inlineStr">
        <is>
          <t>С-7293 от 14.05</t>
        </is>
      </c>
      <c r="G74" s="20" t="inlineStr">
        <is>
          <t>П334</t>
        </is>
      </c>
      <c r="H74" s="20" t="n">
        <v>17</v>
      </c>
      <c r="I74" s="18">
        <f>IF(C74="","",IFERROR(INDEX(Справочники!$C$6:$C$45,MATCH(C74,Справочники!$A$6:$A$45,0)),""))</f>
        <v/>
      </c>
      <c r="J74" s="22">
        <f>IF(C74="","",IFERROR(INDEX(Справочники!$E$6:$E$45,MATCH(C74,Справочники!$A$6:$A$45,0)),""))</f>
        <v/>
      </c>
      <c r="K74" s="23" t="inlineStr">
        <is>
          <t>Соответствует</t>
        </is>
      </c>
      <c r="L74" s="20" t="inlineStr">
        <is>
          <t>Принято</t>
        </is>
      </c>
      <c r="M74" s="19" t="n">
        <v>46156</v>
      </c>
      <c r="N74" s="20" t="inlineStr">
        <is>
          <t>Орлова Т.</t>
        </is>
      </c>
      <c r="O74" s="23" t="inlineStr"/>
      <c r="P74" s="18">
        <f>IF(B74="","",IF(M74="",IF(L74="Карантин",INT(TODAY())-B74,""),M74-B74))</f>
        <v/>
      </c>
      <c r="Q74" s="18">
        <f>IF(C74="","",IFERROR(INDEX(Справочники!$D$6:$D$45,MATCH(C74,Справочники!$A$6:$A$45,0)),""))</f>
        <v/>
      </c>
    </row>
    <row r="75">
      <c r="A75" s="18">
        <f>IF(B75="","",ROW()-5)</f>
        <v/>
      </c>
      <c r="B75" s="19" t="n">
        <v>46159</v>
      </c>
      <c r="C75" s="20" t="inlineStr">
        <is>
          <t>М-02</t>
        </is>
      </c>
      <c r="D75" s="21">
        <f>IF(C75="","",IFERROR(INDEX(Справочники!$B$6:$B$45,MATCH(C75,Справочники!$A$6:$A$45,0)),"нет в справочнике"))</f>
        <v/>
      </c>
      <c r="E75" s="20" t="inlineStr">
        <is>
          <t>ООО «Металл-Сервис»</t>
        </is>
      </c>
      <c r="F75" s="20" t="inlineStr">
        <is>
          <t>С-8227 от 17.05</t>
        </is>
      </c>
      <c r="G75" s="20" t="inlineStr">
        <is>
          <t>П853</t>
        </is>
      </c>
      <c r="H75" s="20" t="n">
        <v>4</v>
      </c>
      <c r="I75" s="18">
        <f>IF(C75="","",IFERROR(INDEX(Справочники!$C$6:$C$45,MATCH(C75,Справочники!$A$6:$A$45,0)),""))</f>
        <v/>
      </c>
      <c r="J75" s="22">
        <f>IF(C75="","",IFERROR(INDEX(Справочники!$E$6:$E$45,MATCH(C75,Справочники!$A$6:$A$45,0)),""))</f>
        <v/>
      </c>
      <c r="K75" s="23" t="inlineStr">
        <is>
          <t>Соответствует</t>
        </is>
      </c>
      <c r="L75" s="20" t="inlineStr">
        <is>
          <t>Принято</t>
        </is>
      </c>
      <c r="M75" s="19" t="n">
        <v>46159</v>
      </c>
      <c r="N75" s="20" t="inlineStr">
        <is>
          <t>Смирнов К.</t>
        </is>
      </c>
      <c r="O75" s="23" t="inlineStr"/>
      <c r="P75" s="18">
        <f>IF(B75="","",IF(M75="",IF(L75="Карантин",INT(TODAY())-B75,""),M75-B75))</f>
        <v/>
      </c>
      <c r="Q75" s="18">
        <f>IF(C75="","",IFERROR(INDEX(Справочники!$D$6:$D$45,MATCH(C75,Справочники!$A$6:$A$45,0)),""))</f>
        <v/>
      </c>
    </row>
    <row r="76">
      <c r="A76" s="18">
        <f>IF(B76="","",ROW()-5)</f>
        <v/>
      </c>
      <c r="B76" s="19" t="n">
        <v>46159</v>
      </c>
      <c r="C76" s="20" t="inlineStr">
        <is>
          <t>М-03</t>
        </is>
      </c>
      <c r="D76" s="21">
        <f>IF(C76="","",IFERROR(INDEX(Справочники!$B$6:$B$45,MATCH(C76,Справочники!$A$6:$A$45,0)),"нет в справочнике"))</f>
        <v/>
      </c>
      <c r="E76" s="20" t="inlineStr">
        <is>
          <t>ООО «СварТехСнаб»</t>
        </is>
      </c>
      <c r="F76" s="20" t="inlineStr">
        <is>
          <t>С-2372 от 17.05</t>
        </is>
      </c>
      <c r="G76" s="20" t="inlineStr">
        <is>
          <t>П351</t>
        </is>
      </c>
      <c r="H76" s="20" t="n">
        <v>500</v>
      </c>
      <c r="I76" s="18">
        <f>IF(C76="","",IFERROR(INDEX(Справочники!$C$6:$C$45,MATCH(C76,Справочники!$A$6:$A$45,0)),""))</f>
        <v/>
      </c>
      <c r="J76" s="22">
        <f>IF(C76="","",IFERROR(INDEX(Справочники!$E$6:$E$45,MATCH(C76,Справочники!$A$6:$A$45,0)),""))</f>
        <v/>
      </c>
      <c r="K76" s="23" t="inlineStr">
        <is>
          <t>Соответствует</t>
        </is>
      </c>
      <c r="L76" s="20" t="inlineStr">
        <is>
          <t>Принято</t>
        </is>
      </c>
      <c r="M76" s="19" t="n">
        <v>46159</v>
      </c>
      <c r="N76" s="20" t="inlineStr">
        <is>
          <t>Смирнов К.</t>
        </is>
      </c>
      <c r="O76" s="23" t="inlineStr"/>
      <c r="P76" s="18">
        <f>IF(B76="","",IF(M76="",IF(L76="Карантин",INT(TODAY())-B76,""),M76-B76))</f>
        <v/>
      </c>
      <c r="Q76" s="18">
        <f>IF(C76="","",IFERROR(INDEX(Справочники!$D$6:$D$45,MATCH(C76,Справочники!$A$6:$A$45,0)),""))</f>
        <v/>
      </c>
    </row>
    <row r="77">
      <c r="A77" s="18">
        <f>IF(B77="","",ROW()-5)</f>
        <v/>
      </c>
      <c r="B77" s="19" t="n">
        <v>46162</v>
      </c>
      <c r="C77" s="20" t="inlineStr">
        <is>
          <t>М-07</t>
        </is>
      </c>
      <c r="D77" s="21">
        <f>IF(C77="","",IFERROR(INDEX(Справочники!$B$6:$B$45,MATCH(C77,Справочники!$A$6:$A$45,0)),"нет в справочнике"))</f>
        <v/>
      </c>
      <c r="E77" s="20" t="inlineStr">
        <is>
          <t>ООО «Подшипник-Центр»</t>
        </is>
      </c>
      <c r="F77" s="20" t="inlineStr">
        <is>
          <t>С-6613 от 20.05</t>
        </is>
      </c>
      <c r="G77" s="20" t="inlineStr">
        <is>
          <t>П860</t>
        </is>
      </c>
      <c r="H77" s="20" t="n">
        <v>50</v>
      </c>
      <c r="I77" s="18">
        <f>IF(C77="","",IFERROR(INDEX(Справочники!$C$6:$C$45,MATCH(C77,Справочники!$A$6:$A$45,0)),""))</f>
        <v/>
      </c>
      <c r="J77" s="22">
        <f>IF(C77="","",IFERROR(INDEX(Справочники!$E$6:$E$45,MATCH(C77,Справочники!$A$6:$A$45,0)),""))</f>
        <v/>
      </c>
      <c r="K77" s="23" t="inlineStr">
        <is>
          <t>Соответствует</t>
        </is>
      </c>
      <c r="L77" s="20" t="inlineStr">
        <is>
          <t>Принято</t>
        </is>
      </c>
      <c r="M77" s="19" t="n">
        <v>46164</v>
      </c>
      <c r="N77" s="20" t="inlineStr">
        <is>
          <t>Иванова Е.</t>
        </is>
      </c>
      <c r="O77" s="23" t="inlineStr"/>
      <c r="P77" s="18">
        <f>IF(B77="","",IF(M77="",IF(L77="Карантин",INT(TODAY())-B77,""),M77-B77))</f>
        <v/>
      </c>
      <c r="Q77" s="18">
        <f>IF(C77="","",IFERROR(INDEX(Справочники!$D$6:$D$45,MATCH(C77,Справочники!$A$6:$A$45,0)),""))</f>
        <v/>
      </c>
    </row>
    <row r="78">
      <c r="A78" s="18">
        <f>IF(B78="","",ROW()-5)</f>
        <v/>
      </c>
      <c r="B78" s="19" t="n">
        <v>46162</v>
      </c>
      <c r="C78" s="20" t="inlineStr">
        <is>
          <t>М-08</t>
        </is>
      </c>
      <c r="D78" s="21">
        <f>IF(C78="","",IFERROR(INDEX(Справочники!$B$6:$B$45,MATCH(C78,Справочники!$A$6:$A$45,0)),"нет в справочнике"))</f>
        <v/>
      </c>
      <c r="E78" s="20" t="inlineStr">
        <is>
          <t>ООО «КабельТорг»</t>
        </is>
      </c>
      <c r="F78" s="20" t="inlineStr">
        <is>
          <t>С-5761 от 20.05</t>
        </is>
      </c>
      <c r="G78" s="20" t="inlineStr">
        <is>
          <t>П610</t>
        </is>
      </c>
      <c r="H78" s="20" t="n">
        <v>1000</v>
      </c>
      <c r="I78" s="18">
        <f>IF(C78="","",IFERROR(INDEX(Справочники!$C$6:$C$45,MATCH(C78,Справочники!$A$6:$A$45,0)),""))</f>
        <v/>
      </c>
      <c r="J78" s="22">
        <f>IF(C78="","",IFERROR(INDEX(Справочники!$E$6:$E$45,MATCH(C78,Справочники!$A$6:$A$45,0)),""))</f>
        <v/>
      </c>
      <c r="K78" s="23" t="inlineStr">
        <is>
          <t>Нет сертификата на плавку</t>
        </is>
      </c>
      <c r="L78" s="20" t="inlineStr">
        <is>
          <t>Забраковано</t>
        </is>
      </c>
      <c r="M78" s="19" t="n">
        <v>46166</v>
      </c>
      <c r="N78" s="20" t="inlineStr">
        <is>
          <t>Орлова Т.</t>
        </is>
      </c>
      <c r="O78" s="23" t="inlineStr">
        <is>
          <t>Акт № 73</t>
        </is>
      </c>
      <c r="P78" s="18">
        <f>IF(B78="","",IF(M78="",IF(L78="Карантин",INT(TODAY())-B78,""),M78-B78))</f>
        <v/>
      </c>
      <c r="Q78" s="18">
        <f>IF(C78="","",IFERROR(INDEX(Справочники!$D$6:$D$45,MATCH(C78,Справочники!$A$6:$A$45,0)),""))</f>
        <v/>
      </c>
    </row>
    <row r="79">
      <c r="A79" s="18">
        <f>IF(B79="","",ROW()-5)</f>
        <v/>
      </c>
      <c r="B79" s="19" t="n">
        <v>46170</v>
      </c>
      <c r="C79" s="20" t="inlineStr">
        <is>
          <t>М-06</t>
        </is>
      </c>
      <c r="D79" s="21">
        <f>IF(C79="","",IFERROR(INDEX(Справочники!$B$6:$B$45,MATCH(C79,Справочники!$A$6:$A$45,0)),"нет в справочнике"))</f>
        <v/>
      </c>
      <c r="E79" s="20" t="inlineStr">
        <is>
          <t>ООО «ЭлектроМаш»</t>
        </is>
      </c>
      <c r="F79" s="20" t="inlineStr">
        <is>
          <t>С-3389 от 28.05</t>
        </is>
      </c>
      <c r="G79" s="20" t="inlineStr">
        <is>
          <t>П377</t>
        </is>
      </c>
      <c r="H79" s="20" t="n">
        <v>500</v>
      </c>
      <c r="I79" s="18">
        <f>IF(C79="","",IFERROR(INDEX(Справочники!$C$6:$C$45,MATCH(C79,Справочники!$A$6:$A$45,0)),""))</f>
        <v/>
      </c>
      <c r="J79" s="22">
        <f>IF(C79="","",IFERROR(INDEX(Справочники!$E$6:$E$45,MATCH(C79,Справочники!$A$6:$A$45,0)),""))</f>
        <v/>
      </c>
      <c r="K79" s="23" t="inlineStr">
        <is>
          <t>Соответствует</t>
        </is>
      </c>
      <c r="L79" s="20" t="inlineStr">
        <is>
          <t>Принято</t>
        </is>
      </c>
      <c r="M79" s="19" t="n">
        <v>46170</v>
      </c>
      <c r="N79" s="20" t="inlineStr">
        <is>
          <t>Иванова Е.</t>
        </is>
      </c>
      <c r="O79" s="23" t="inlineStr"/>
      <c r="P79" s="18">
        <f>IF(B79="","",IF(M79="",IF(L79="Карантин",INT(TODAY())-B79,""),M79-B79))</f>
        <v/>
      </c>
      <c r="Q79" s="18">
        <f>IF(C79="","",IFERROR(INDEX(Справочники!$D$6:$D$45,MATCH(C79,Справочники!$A$6:$A$45,0)),""))</f>
        <v/>
      </c>
    </row>
    <row r="80">
      <c r="A80" s="18">
        <f>IF(B80="","",ROW()-5)</f>
        <v/>
      </c>
      <c r="B80" s="19" t="n">
        <v>46170</v>
      </c>
      <c r="C80" s="20" t="inlineStr">
        <is>
          <t>М-09</t>
        </is>
      </c>
      <c r="D80" s="21">
        <f>IF(C80="","",IFERROR(INDEX(Справочники!$B$6:$B$45,MATCH(C80,Справочники!$A$6:$A$45,0)),"нет в справочнике"))</f>
        <v/>
      </c>
      <c r="E80" s="20" t="inlineStr">
        <is>
          <t>ООО «Крепёж-Опт»</t>
        </is>
      </c>
      <c r="F80" s="20" t="inlineStr">
        <is>
          <t>С-6828 от 28.05</t>
        </is>
      </c>
      <c r="G80" s="20" t="inlineStr">
        <is>
          <t>П232</t>
        </is>
      </c>
      <c r="H80" s="20" t="n">
        <v>100</v>
      </c>
      <c r="I80" s="18">
        <f>IF(C80="","",IFERROR(INDEX(Справочники!$C$6:$C$45,MATCH(C80,Справочники!$A$6:$A$45,0)),""))</f>
        <v/>
      </c>
      <c r="J80" s="22">
        <f>IF(C80="","",IFERROR(INDEX(Справочники!$E$6:$E$45,MATCH(C80,Справочники!$A$6:$A$45,0)),""))</f>
        <v/>
      </c>
      <c r="K80" s="23" t="inlineStr">
        <is>
          <t>Соответствует</t>
        </is>
      </c>
      <c r="L80" s="20" t="inlineStr">
        <is>
          <t>Принято</t>
        </is>
      </c>
      <c r="M80" s="19" t="n">
        <v>46170</v>
      </c>
      <c r="N80" s="20" t="inlineStr">
        <is>
          <t>Иванова Е.</t>
        </is>
      </c>
      <c r="O80" s="23" t="inlineStr"/>
      <c r="P80" s="18">
        <f>IF(B80="","",IF(M80="",IF(L80="Карантин",INT(TODAY())-B80,""),M80-B80))</f>
        <v/>
      </c>
      <c r="Q80" s="18">
        <f>IF(C80="","",IFERROR(INDEX(Справочники!$D$6:$D$45,MATCH(C80,Справочники!$A$6:$A$45,0)),""))</f>
        <v/>
      </c>
    </row>
    <row r="81">
      <c r="A81" s="18">
        <f>IF(B81="","",ROW()-5)</f>
        <v/>
      </c>
      <c r="B81" s="19" t="n">
        <v>46171</v>
      </c>
      <c r="C81" s="20" t="inlineStr">
        <is>
          <t>М-06</t>
        </is>
      </c>
      <c r="D81" s="21">
        <f>IF(C81="","",IFERROR(INDEX(Справочники!$B$6:$B$45,MATCH(C81,Справочники!$A$6:$A$45,0)),"нет в справочнике"))</f>
        <v/>
      </c>
      <c r="E81" s="20" t="inlineStr">
        <is>
          <t>ООО «ЭлектроМаш»</t>
        </is>
      </c>
      <c r="F81" s="20" t="inlineStr">
        <is>
          <t>С-4175 от 29.05</t>
        </is>
      </c>
      <c r="G81" s="20" t="inlineStr">
        <is>
          <t>П922</t>
        </is>
      </c>
      <c r="H81" s="20" t="n">
        <v>50</v>
      </c>
      <c r="I81" s="18">
        <f>IF(C81="","",IFERROR(INDEX(Справочники!$C$6:$C$45,MATCH(C81,Справочники!$A$6:$A$45,0)),""))</f>
        <v/>
      </c>
      <c r="J81" s="22">
        <f>IF(C81="","",IFERROR(INDEX(Справочники!$E$6:$E$45,MATCH(C81,Справочники!$A$6:$A$45,0)),""))</f>
        <v/>
      </c>
      <c r="K81" s="23" t="inlineStr">
        <is>
          <t>Отклонение в пределах допуска заказчика, согласовано</t>
        </is>
      </c>
      <c r="L81" s="20" t="inlineStr">
        <is>
          <t>Принято с отступлением</t>
        </is>
      </c>
      <c r="M81" s="19" t="n">
        <v>46176</v>
      </c>
      <c r="N81" s="20" t="inlineStr">
        <is>
          <t>Смирнов К.</t>
        </is>
      </c>
      <c r="O81" s="23" t="inlineStr"/>
      <c r="P81" s="18">
        <f>IF(B81="","",IF(M81="",IF(L81="Карантин",INT(TODAY())-B81,""),M81-B81))</f>
        <v/>
      </c>
      <c r="Q81" s="18">
        <f>IF(C81="","",IFERROR(INDEX(Справочники!$D$6:$D$45,MATCH(C81,Справочники!$A$6:$A$45,0)),""))</f>
        <v/>
      </c>
    </row>
    <row r="82">
      <c r="A82" s="18">
        <f>IF(B82="","",ROW()-5)</f>
        <v/>
      </c>
      <c r="B82" s="19" t="n">
        <v>46172</v>
      </c>
      <c r="C82" s="20" t="inlineStr">
        <is>
          <t>М-09</t>
        </is>
      </c>
      <c r="D82" s="21">
        <f>IF(C82="","",IFERROR(INDEX(Справочники!$B$6:$B$45,MATCH(C82,Справочники!$A$6:$A$45,0)),"нет в справочнике"))</f>
        <v/>
      </c>
      <c r="E82" s="20" t="inlineStr">
        <is>
          <t>ООО «Крепёж-Опт»</t>
        </is>
      </c>
      <c r="F82" s="20" t="inlineStr">
        <is>
          <t>С-1868 от 30.05</t>
        </is>
      </c>
      <c r="G82" s="20" t="inlineStr">
        <is>
          <t>П263</t>
        </is>
      </c>
      <c r="H82" s="20" t="n">
        <v>1000</v>
      </c>
      <c r="I82" s="18">
        <f>IF(C82="","",IFERROR(INDEX(Справочники!$C$6:$C$45,MATCH(C82,Справочники!$A$6:$A$45,0)),""))</f>
        <v/>
      </c>
      <c r="J82" s="22">
        <f>IF(C82="","",IFERROR(INDEX(Справочники!$E$6:$E$45,MATCH(C82,Справочники!$A$6:$A$45,0)),""))</f>
        <v/>
      </c>
      <c r="K82" s="23" t="inlineStr">
        <is>
          <t>Соответствует</t>
        </is>
      </c>
      <c r="L82" s="20" t="inlineStr">
        <is>
          <t>Принято</t>
        </is>
      </c>
      <c r="M82" s="19" t="n">
        <v>46174</v>
      </c>
      <c r="N82" s="20" t="inlineStr">
        <is>
          <t>Смирнов К.</t>
        </is>
      </c>
      <c r="O82" s="23" t="inlineStr"/>
      <c r="P82" s="18">
        <f>IF(B82="","",IF(M82="",IF(L82="Карантин",INT(TODAY())-B82,""),M82-B82))</f>
        <v/>
      </c>
      <c r="Q82" s="18">
        <f>IF(C82="","",IFERROR(INDEX(Справочники!$D$6:$D$45,MATCH(C82,Справочники!$A$6:$A$45,0)),""))</f>
        <v/>
      </c>
    </row>
    <row r="83">
      <c r="A83" s="18">
        <f>IF(B83="","",ROW()-5)</f>
        <v/>
      </c>
      <c r="B83" s="19" t="n">
        <v>46172</v>
      </c>
      <c r="C83" s="20" t="inlineStr">
        <is>
          <t>М-09</t>
        </is>
      </c>
      <c r="D83" s="21">
        <f>IF(C83="","",IFERROR(INDEX(Справочники!$B$6:$B$45,MATCH(C83,Справочники!$A$6:$A$45,0)),"нет в справочнике"))</f>
        <v/>
      </c>
      <c r="E83" s="20" t="inlineStr">
        <is>
          <t>ООО «Крепёж-Опт»</t>
        </is>
      </c>
      <c r="F83" s="20" t="inlineStr">
        <is>
          <t>С-7770 от 30.05</t>
        </is>
      </c>
      <c r="G83" s="20" t="inlineStr">
        <is>
          <t>П931</t>
        </is>
      </c>
      <c r="H83" s="20" t="n">
        <v>100</v>
      </c>
      <c r="I83" s="18">
        <f>IF(C83="","",IFERROR(INDEX(Справочники!$C$6:$C$45,MATCH(C83,Справочники!$A$6:$A$45,0)),""))</f>
        <v/>
      </c>
      <c r="J83" s="22">
        <f>IF(C83="","",IFERROR(INDEX(Справочники!$E$6:$E$45,MATCH(C83,Справочники!$A$6:$A$45,0)),""))</f>
        <v/>
      </c>
      <c r="K83" s="23" t="inlineStr">
        <is>
          <t>Соответствует</t>
        </is>
      </c>
      <c r="L83" s="20" t="inlineStr">
        <is>
          <t>Принято</t>
        </is>
      </c>
      <c r="M83" s="19" t="n">
        <v>46174</v>
      </c>
      <c r="N83" s="20" t="inlineStr">
        <is>
          <t>Смирнов К.</t>
        </is>
      </c>
      <c r="O83" s="23" t="inlineStr"/>
      <c r="P83" s="18">
        <f>IF(B83="","",IF(M83="",IF(L83="Карантин",INT(TODAY())-B83,""),M83-B83))</f>
        <v/>
      </c>
      <c r="Q83" s="18">
        <f>IF(C83="","",IFERROR(INDEX(Справочники!$D$6:$D$45,MATCH(C83,Справочники!$A$6:$A$45,0)),""))</f>
        <v/>
      </c>
    </row>
    <row r="84">
      <c r="A84" s="18">
        <f>IF(B84="","",ROW()-5)</f>
        <v/>
      </c>
      <c r="B84" s="19" t="n">
        <v>46175</v>
      </c>
      <c r="C84" s="20" t="inlineStr">
        <is>
          <t>М-03</t>
        </is>
      </c>
      <c r="D84" s="21">
        <f>IF(C84="","",IFERROR(INDEX(Справочники!$B$6:$B$45,MATCH(C84,Справочники!$A$6:$A$45,0)),"нет в справочнике"))</f>
        <v/>
      </c>
      <c r="E84" s="20" t="inlineStr">
        <is>
          <t>ООО «СварТехСнаб»</t>
        </is>
      </c>
      <c r="F84" s="20" t="inlineStr">
        <is>
          <t>С-7904 от 02.06</t>
        </is>
      </c>
      <c r="G84" s="20" t="inlineStr">
        <is>
          <t>П295</t>
        </is>
      </c>
      <c r="H84" s="20" t="n">
        <v>200</v>
      </c>
      <c r="I84" s="18">
        <f>IF(C84="","",IFERROR(INDEX(Справочники!$C$6:$C$45,MATCH(C84,Справочники!$A$6:$A$45,0)),""))</f>
        <v/>
      </c>
      <c r="J84" s="22">
        <f>IF(C84="","",IFERROR(INDEX(Справочники!$E$6:$E$45,MATCH(C84,Справочники!$A$6:$A$45,0)),""))</f>
        <v/>
      </c>
      <c r="K84" s="23" t="inlineStr">
        <is>
          <t>Соответствует</t>
        </is>
      </c>
      <c r="L84" s="20" t="inlineStr">
        <is>
          <t>Принято</t>
        </is>
      </c>
      <c r="M84" s="19" t="n">
        <v>46176</v>
      </c>
      <c r="N84" s="20" t="inlineStr">
        <is>
          <t>Смирнов К.</t>
        </is>
      </c>
      <c r="O84" s="23" t="inlineStr"/>
      <c r="P84" s="18">
        <f>IF(B84="","",IF(M84="",IF(L84="Карантин",INT(TODAY())-B84,""),M84-B84))</f>
        <v/>
      </c>
      <c r="Q84" s="18">
        <f>IF(C84="","",IFERROR(INDEX(Справочники!$D$6:$D$45,MATCH(C84,Справочники!$A$6:$A$45,0)),""))</f>
        <v/>
      </c>
    </row>
    <row r="85">
      <c r="A85" s="18">
        <f>IF(B85="","",ROW()-5)</f>
        <v/>
      </c>
      <c r="B85" s="19" t="n">
        <v>46176</v>
      </c>
      <c r="C85" s="20" t="inlineStr">
        <is>
          <t>М-06</t>
        </is>
      </c>
      <c r="D85" s="21">
        <f>IF(C85="","",IFERROR(INDEX(Справочники!$B$6:$B$45,MATCH(C85,Справочники!$A$6:$A$45,0)),"нет в справочнике"))</f>
        <v/>
      </c>
      <c r="E85" s="20" t="inlineStr">
        <is>
          <t>ООО «ЭлектроМаш»</t>
        </is>
      </c>
      <c r="F85" s="20" t="inlineStr">
        <is>
          <t>С-1588 от 03.06</t>
        </is>
      </c>
      <c r="G85" s="20" t="inlineStr">
        <is>
          <t>П519</t>
        </is>
      </c>
      <c r="H85" s="20" t="n">
        <v>50</v>
      </c>
      <c r="I85" s="18">
        <f>IF(C85="","",IFERROR(INDEX(Справочники!$C$6:$C$45,MATCH(C85,Справочники!$A$6:$A$45,0)),""))</f>
        <v/>
      </c>
      <c r="J85" s="22">
        <f>IF(C85="","",IFERROR(INDEX(Справочники!$E$6:$E$45,MATCH(C85,Справочники!$A$6:$A$45,0)),""))</f>
        <v/>
      </c>
      <c r="K85" s="23" t="inlineStr">
        <is>
          <t>Коррозия на поверхности</t>
        </is>
      </c>
      <c r="L85" s="20" t="inlineStr">
        <is>
          <t>Забраковано</t>
        </is>
      </c>
      <c r="M85" s="19" t="n">
        <v>46178</v>
      </c>
      <c r="N85" s="20" t="inlineStr">
        <is>
          <t>Иванова Е.</t>
        </is>
      </c>
      <c r="O85" s="23" t="inlineStr">
        <is>
          <t>Акт № 80</t>
        </is>
      </c>
      <c r="P85" s="18">
        <f>IF(B85="","",IF(M85="",IF(L85="Карантин",INT(TODAY())-B85,""),M85-B85))</f>
        <v/>
      </c>
      <c r="Q85" s="18">
        <f>IF(C85="","",IFERROR(INDEX(Справочники!$D$6:$D$45,MATCH(C85,Справочники!$A$6:$A$45,0)),""))</f>
        <v/>
      </c>
    </row>
    <row r="86">
      <c r="A86" s="18">
        <f>IF(B86="","",ROW()-5)</f>
        <v/>
      </c>
      <c r="B86" s="19" t="n">
        <v>46176</v>
      </c>
      <c r="C86" s="20" t="inlineStr">
        <is>
          <t>М-04</t>
        </is>
      </c>
      <c r="D86" s="21">
        <f>IF(C86="","",IFERROR(INDEX(Справочники!$B$6:$B$45,MATCH(C86,Справочники!$A$6:$A$45,0)),"нет в справочнике"))</f>
        <v/>
      </c>
      <c r="E86" s="20" t="inlineStr">
        <is>
          <t>ООО «Колор-Покрытия»</t>
        </is>
      </c>
      <c r="F86" s="20" t="inlineStr">
        <is>
          <t>С-4875 от 03.06</t>
        </is>
      </c>
      <c r="G86" s="20" t="inlineStr">
        <is>
          <t>П179</t>
        </is>
      </c>
      <c r="H86" s="20" t="n">
        <v>1000</v>
      </c>
      <c r="I86" s="18">
        <f>IF(C86="","",IFERROR(INDEX(Справочники!$C$6:$C$45,MATCH(C86,Справочники!$A$6:$A$45,0)),""))</f>
        <v/>
      </c>
      <c r="J86" s="22">
        <f>IF(C86="","",IFERROR(INDEX(Справочники!$E$6:$E$45,MATCH(C86,Справочники!$A$6:$A$45,0)),""))</f>
        <v/>
      </c>
      <c r="K86" s="23" t="inlineStr">
        <is>
          <t>Соответствует</t>
        </is>
      </c>
      <c r="L86" s="20" t="inlineStr">
        <is>
          <t>Принято</t>
        </is>
      </c>
      <c r="M86" s="19" t="n">
        <v>46177</v>
      </c>
      <c r="N86" s="20" t="inlineStr">
        <is>
          <t>Смирнов К.</t>
        </is>
      </c>
      <c r="O86" s="23" t="inlineStr"/>
      <c r="P86" s="18">
        <f>IF(B86="","",IF(M86="",IF(L86="Карантин",INT(TODAY())-B86,""),M86-B86))</f>
        <v/>
      </c>
      <c r="Q86" s="18">
        <f>IF(C86="","",IFERROR(INDEX(Справочники!$D$6:$D$45,MATCH(C86,Справочники!$A$6:$A$45,0)),""))</f>
        <v/>
      </c>
    </row>
    <row r="87">
      <c r="A87" s="18">
        <f>IF(B87="","",ROW()-5)</f>
        <v/>
      </c>
      <c r="B87" s="19" t="n">
        <v>46180</v>
      </c>
      <c r="C87" s="20" t="inlineStr">
        <is>
          <t>М-07</t>
        </is>
      </c>
      <c r="D87" s="21">
        <f>IF(C87="","",IFERROR(INDEX(Справочники!$B$6:$B$45,MATCH(C87,Справочники!$A$6:$A$45,0)),"нет в справочнике"))</f>
        <v/>
      </c>
      <c r="E87" s="20" t="inlineStr">
        <is>
          <t>ООО «Подшипник-Центр»</t>
        </is>
      </c>
      <c r="F87" s="20" t="inlineStr">
        <is>
          <t>С-5647 от 07.06</t>
        </is>
      </c>
      <c r="G87" s="20" t="inlineStr">
        <is>
          <t>П213</t>
        </is>
      </c>
      <c r="H87" s="20" t="n">
        <v>100</v>
      </c>
      <c r="I87" s="18">
        <f>IF(C87="","",IFERROR(INDEX(Справочники!$C$6:$C$45,MATCH(C87,Справочники!$A$6:$A$45,0)),""))</f>
        <v/>
      </c>
      <c r="J87" s="22">
        <f>IF(C87="","",IFERROR(INDEX(Справочники!$E$6:$E$45,MATCH(C87,Справочники!$A$6:$A$45,0)),""))</f>
        <v/>
      </c>
      <c r="K87" s="23" t="inlineStr">
        <is>
          <t>Соответствует</t>
        </is>
      </c>
      <c r="L87" s="20" t="inlineStr">
        <is>
          <t>Принято</t>
        </is>
      </c>
      <c r="M87" s="19" t="n">
        <v>46181</v>
      </c>
      <c r="N87" s="20" t="inlineStr">
        <is>
          <t>Иванова Е.</t>
        </is>
      </c>
      <c r="O87" s="23" t="inlineStr"/>
      <c r="P87" s="18">
        <f>IF(B87="","",IF(M87="",IF(L87="Карантин",INT(TODAY())-B87,""),M87-B87))</f>
        <v/>
      </c>
      <c r="Q87" s="18">
        <f>IF(C87="","",IFERROR(INDEX(Справочники!$D$6:$D$45,MATCH(C87,Справочники!$A$6:$A$45,0)),""))</f>
        <v/>
      </c>
    </row>
    <row r="88">
      <c r="A88" s="18">
        <f>IF(B88="","",ROW()-5)</f>
        <v/>
      </c>
      <c r="B88" s="19" t="n">
        <v>46183</v>
      </c>
      <c r="C88" s="20" t="inlineStr">
        <is>
          <t>М-06</t>
        </is>
      </c>
      <c r="D88" s="21">
        <f>IF(C88="","",IFERROR(INDEX(Справочники!$B$6:$B$45,MATCH(C88,Справочники!$A$6:$A$45,0)),"нет в справочнике"))</f>
        <v/>
      </c>
      <c r="E88" s="20" t="inlineStr">
        <is>
          <t>ООО «ЭлектроМаш»</t>
        </is>
      </c>
      <c r="F88" s="20" t="inlineStr">
        <is>
          <t>С-5310 от 10.06</t>
        </is>
      </c>
      <c r="G88" s="20" t="inlineStr">
        <is>
          <t>П117</t>
        </is>
      </c>
      <c r="H88" s="20" t="n">
        <v>100</v>
      </c>
      <c r="I88" s="18">
        <f>IF(C88="","",IFERROR(INDEX(Справочники!$C$6:$C$45,MATCH(C88,Справочники!$A$6:$A$45,0)),""))</f>
        <v/>
      </c>
      <c r="J88" s="22">
        <f>IF(C88="","",IFERROR(INDEX(Справочники!$E$6:$E$45,MATCH(C88,Справочники!$A$6:$A$45,0)),""))</f>
        <v/>
      </c>
      <c r="K88" s="23" t="inlineStr">
        <is>
          <t>Соответствует</t>
        </is>
      </c>
      <c r="L88" s="20" t="inlineStr">
        <is>
          <t>Принято</t>
        </is>
      </c>
      <c r="M88" s="19" t="n">
        <v>46184</v>
      </c>
      <c r="N88" s="20" t="inlineStr">
        <is>
          <t>Орлова Т.</t>
        </is>
      </c>
      <c r="O88" s="23" t="inlineStr"/>
      <c r="P88" s="18">
        <f>IF(B88="","",IF(M88="",IF(L88="Карантин",INT(TODAY())-B88,""),M88-B88))</f>
        <v/>
      </c>
      <c r="Q88" s="18">
        <f>IF(C88="","",IFERROR(INDEX(Справочники!$D$6:$D$45,MATCH(C88,Справочники!$A$6:$A$45,0)),""))</f>
        <v/>
      </c>
    </row>
    <row r="89">
      <c r="A89" s="18">
        <f>IF(B89="","",ROW()-5)</f>
        <v/>
      </c>
      <c r="B89" s="19" t="n">
        <v>46183</v>
      </c>
      <c r="C89" s="20" t="inlineStr">
        <is>
          <t>М-01</t>
        </is>
      </c>
      <c r="D89" s="21">
        <f>IF(C89="","",IFERROR(INDEX(Справочники!$B$6:$B$45,MATCH(C89,Справочники!$A$6:$A$45,0)),"нет в справочнике"))</f>
        <v/>
      </c>
      <c r="E89" s="20" t="inlineStr">
        <is>
          <t>АО «СтальПром»</t>
        </is>
      </c>
      <c r="F89" s="20" t="inlineStr">
        <is>
          <t>С-4808 от 10.06</t>
        </is>
      </c>
      <c r="G89" s="20" t="inlineStr">
        <is>
          <t>П616</t>
        </is>
      </c>
      <c r="H89" s="20" t="n">
        <v>14.7</v>
      </c>
      <c r="I89" s="18">
        <f>IF(C89="","",IFERROR(INDEX(Справочники!$C$6:$C$45,MATCH(C89,Справочники!$A$6:$A$45,0)),""))</f>
        <v/>
      </c>
      <c r="J89" s="22">
        <f>IF(C89="","",IFERROR(INDEX(Справочники!$E$6:$E$45,MATCH(C89,Справочники!$A$6:$A$45,0)),""))</f>
        <v/>
      </c>
      <c r="K89" s="23" t="inlineStr">
        <is>
          <t>Коррозия на поверхности</t>
        </is>
      </c>
      <c r="L89" s="20" t="inlineStr">
        <is>
          <t>Забраковано</t>
        </is>
      </c>
      <c r="M89" s="19" t="n">
        <v>46189</v>
      </c>
      <c r="N89" s="20" t="inlineStr">
        <is>
          <t>Орлова Т.</t>
        </is>
      </c>
      <c r="O89" s="23" t="inlineStr">
        <is>
          <t>Акт № 84</t>
        </is>
      </c>
      <c r="P89" s="18">
        <f>IF(B89="","",IF(M89="",IF(L89="Карантин",INT(TODAY())-B89,""),M89-B89))</f>
        <v/>
      </c>
      <c r="Q89" s="18">
        <f>IF(C89="","",IFERROR(INDEX(Справочники!$D$6:$D$45,MATCH(C89,Справочники!$A$6:$A$45,0)),""))</f>
        <v/>
      </c>
    </row>
    <row r="90">
      <c r="A90" s="18">
        <f>IF(B90="","",ROW()-5)</f>
        <v/>
      </c>
      <c r="B90" s="19" t="n">
        <v>46186</v>
      </c>
      <c r="C90" s="20" t="inlineStr">
        <is>
          <t>М-05</t>
        </is>
      </c>
      <c r="D90" s="21">
        <f>IF(C90="","",IFERROR(INDEX(Справочники!$B$6:$B$45,MATCH(C90,Справочники!$A$6:$A$45,0)),"нет в справочнике"))</f>
        <v/>
      </c>
      <c r="E90" s="20" t="inlineStr">
        <is>
          <t>ООО «Крепёж-Опт»</t>
        </is>
      </c>
      <c r="F90" s="20" t="inlineStr">
        <is>
          <t>С-8202 от 13.06</t>
        </is>
      </c>
      <c r="G90" s="20" t="inlineStr">
        <is>
          <t>П560</t>
        </is>
      </c>
      <c r="H90" s="20" t="n">
        <v>500</v>
      </c>
      <c r="I90" s="18">
        <f>IF(C90="","",IFERROR(INDEX(Справочники!$C$6:$C$45,MATCH(C90,Справочники!$A$6:$A$45,0)),""))</f>
        <v/>
      </c>
      <c r="J90" s="22">
        <f>IF(C90="","",IFERROR(INDEX(Справочники!$E$6:$E$45,MATCH(C90,Справочники!$A$6:$A$45,0)),""))</f>
        <v/>
      </c>
      <c r="K90" s="23" t="inlineStr">
        <is>
          <t>Соответствует</t>
        </is>
      </c>
      <c r="L90" s="20" t="inlineStr">
        <is>
          <t>Принято</t>
        </is>
      </c>
      <c r="M90" s="19" t="n">
        <v>46186</v>
      </c>
      <c r="N90" s="20" t="inlineStr">
        <is>
          <t>Иванова Е.</t>
        </is>
      </c>
      <c r="O90" s="23" t="inlineStr"/>
      <c r="P90" s="18">
        <f>IF(B90="","",IF(M90="",IF(L90="Карантин",INT(TODAY())-B90,""),M90-B90))</f>
        <v/>
      </c>
      <c r="Q90" s="18">
        <f>IF(C90="","",IFERROR(INDEX(Справочники!$D$6:$D$45,MATCH(C90,Справочники!$A$6:$A$45,0)),""))</f>
        <v/>
      </c>
    </row>
    <row r="91">
      <c r="A91" s="18">
        <f>IF(B91="","",ROW()-5)</f>
        <v/>
      </c>
      <c r="B91" s="19" t="n">
        <v>46191</v>
      </c>
      <c r="C91" s="20" t="inlineStr">
        <is>
          <t>М-10</t>
        </is>
      </c>
      <c r="D91" s="21">
        <f>IF(C91="","",IFERROR(INDEX(Справочники!$B$6:$B$45,MATCH(C91,Справочники!$A$6:$A$45,0)),"нет в справочнике"))</f>
        <v/>
      </c>
      <c r="E91" s="20" t="inlineStr">
        <is>
          <t>ООО «Подшипник-Центр»</t>
        </is>
      </c>
      <c r="F91" s="20" t="inlineStr">
        <is>
          <t>С-1904 от 18.06</t>
        </is>
      </c>
      <c r="G91" s="20" t="inlineStr">
        <is>
          <t>П853</t>
        </is>
      </c>
      <c r="H91" s="20" t="n">
        <v>50</v>
      </c>
      <c r="I91" s="18">
        <f>IF(C91="","",IFERROR(INDEX(Справочники!$C$6:$C$45,MATCH(C91,Справочники!$A$6:$A$45,0)),""))</f>
        <v/>
      </c>
      <c r="J91" s="22">
        <f>IF(C91="","",IFERROR(INDEX(Справочники!$E$6:$E$45,MATCH(C91,Справочники!$A$6:$A$45,0)),""))</f>
        <v/>
      </c>
      <c r="K91" s="23" t="inlineStr">
        <is>
          <t>Соответствует</t>
        </is>
      </c>
      <c r="L91" s="20" t="inlineStr">
        <is>
          <t>Принято</t>
        </is>
      </c>
      <c r="M91" s="19" t="n">
        <v>46192</v>
      </c>
      <c r="N91" s="20" t="inlineStr">
        <is>
          <t>Иванова Е.</t>
        </is>
      </c>
      <c r="O91" s="23" t="inlineStr"/>
      <c r="P91" s="18">
        <f>IF(B91="","",IF(M91="",IF(L91="Карантин",INT(TODAY())-B91,""),M91-B91))</f>
        <v/>
      </c>
      <c r="Q91" s="18">
        <f>IF(C91="","",IFERROR(INDEX(Справочники!$D$6:$D$45,MATCH(C91,Справочники!$A$6:$A$45,0)),""))</f>
        <v/>
      </c>
    </row>
    <row r="92">
      <c r="A92" s="18">
        <f>IF(B92="","",ROW()-5)</f>
        <v/>
      </c>
      <c r="B92" s="19" t="n">
        <v>46194</v>
      </c>
      <c r="C92" s="20" t="inlineStr">
        <is>
          <t>М-02</t>
        </is>
      </c>
      <c r="D92" s="21">
        <f>IF(C92="","",IFERROR(INDEX(Справочники!$B$6:$B$45,MATCH(C92,Справочники!$A$6:$A$45,0)),"нет в справочнике"))</f>
        <v/>
      </c>
      <c r="E92" s="20" t="inlineStr">
        <is>
          <t>АО «СтальПром»</t>
        </is>
      </c>
      <c r="F92" s="20" t="inlineStr">
        <is>
          <t>С-9098 от 21.06</t>
        </is>
      </c>
      <c r="G92" s="20" t="inlineStr">
        <is>
          <t>П103</t>
        </is>
      </c>
      <c r="H92" s="20" t="n">
        <v>16.9</v>
      </c>
      <c r="I92" s="18">
        <f>IF(C92="","",IFERROR(INDEX(Справочники!$C$6:$C$45,MATCH(C92,Справочники!$A$6:$A$45,0)),""))</f>
        <v/>
      </c>
      <c r="J92" s="22">
        <f>IF(C92="","",IFERROR(INDEX(Справочники!$E$6:$E$45,MATCH(C92,Справочники!$A$6:$A$45,0)),""))</f>
        <v/>
      </c>
      <c r="K92" s="23" t="inlineStr">
        <is>
          <t>Соответствует</t>
        </is>
      </c>
      <c r="L92" s="20" t="inlineStr">
        <is>
          <t>Принято</t>
        </is>
      </c>
      <c r="M92" s="19" t="n">
        <v>46195</v>
      </c>
      <c r="N92" s="20" t="inlineStr">
        <is>
          <t>Орлова Т.</t>
        </is>
      </c>
      <c r="O92" s="23" t="inlineStr"/>
      <c r="P92" s="18">
        <f>IF(B92="","",IF(M92="",IF(L92="Карантин",INT(TODAY())-B92,""),M92-B92))</f>
        <v/>
      </c>
      <c r="Q92" s="18">
        <f>IF(C92="","",IFERROR(INDEX(Справочники!$D$6:$D$45,MATCH(C92,Справочники!$A$6:$A$45,0)),""))</f>
        <v/>
      </c>
    </row>
    <row r="93">
      <c r="A93" s="18">
        <f>IF(B93="","",ROW()-5)</f>
        <v/>
      </c>
      <c r="B93" s="19" t="n">
        <v>46194</v>
      </c>
      <c r="C93" s="20" t="inlineStr">
        <is>
          <t>М-10</t>
        </is>
      </c>
      <c r="D93" s="21">
        <f>IF(C93="","",IFERROR(INDEX(Справочники!$B$6:$B$45,MATCH(C93,Справочники!$A$6:$A$45,0)),"нет в справочнике"))</f>
        <v/>
      </c>
      <c r="E93" s="20" t="inlineStr">
        <is>
          <t>ООО «Подшипник-Центр»</t>
        </is>
      </c>
      <c r="F93" s="20" t="inlineStr">
        <is>
          <t>С-7130 от 21.06</t>
        </is>
      </c>
      <c r="G93" s="20" t="inlineStr">
        <is>
          <t>П448</t>
        </is>
      </c>
      <c r="H93" s="20" t="n">
        <v>50</v>
      </c>
      <c r="I93" s="18">
        <f>IF(C93="","",IFERROR(INDEX(Справочники!$C$6:$C$45,MATCH(C93,Справочники!$A$6:$A$45,0)),""))</f>
        <v/>
      </c>
      <c r="J93" s="22">
        <f>IF(C93="","",IFERROR(INDEX(Справочники!$E$6:$E$45,MATCH(C93,Справочники!$A$6:$A$45,0)),""))</f>
        <v/>
      </c>
      <c r="K93" s="23" t="inlineStr">
        <is>
          <t>Соответствует</t>
        </is>
      </c>
      <c r="L93" s="20" t="inlineStr">
        <is>
          <t>Принято</t>
        </is>
      </c>
      <c r="M93" s="19" t="n">
        <v>46194</v>
      </c>
      <c r="N93" s="20" t="inlineStr">
        <is>
          <t>Смирнов К.</t>
        </is>
      </c>
      <c r="O93" s="23" t="inlineStr"/>
      <c r="P93" s="18">
        <f>IF(B93="","",IF(M93="",IF(L93="Карантин",INT(TODAY())-B93,""),M93-B93))</f>
        <v/>
      </c>
      <c r="Q93" s="18">
        <f>IF(C93="","",IFERROR(INDEX(Справочники!$D$6:$D$45,MATCH(C93,Справочники!$A$6:$A$45,0)),""))</f>
        <v/>
      </c>
    </row>
    <row r="94">
      <c r="A94" s="18">
        <f>IF(B94="","",ROW()-5)</f>
        <v/>
      </c>
      <c r="B94" s="19" t="n">
        <v>46196</v>
      </c>
      <c r="C94" s="20" t="inlineStr">
        <is>
          <t>М-03</t>
        </is>
      </c>
      <c r="D94" s="21">
        <f>IF(C94="","",IFERROR(INDEX(Справочники!$B$6:$B$45,MATCH(C94,Справочники!$A$6:$A$45,0)),"нет в справочнике"))</f>
        <v/>
      </c>
      <c r="E94" s="20" t="inlineStr">
        <is>
          <t>ООО «СварТехСнаб»</t>
        </is>
      </c>
      <c r="F94" s="20" t="inlineStr">
        <is>
          <t>С-5315 от 23.06</t>
        </is>
      </c>
      <c r="G94" s="20" t="inlineStr">
        <is>
          <t>П706</t>
        </is>
      </c>
      <c r="H94" s="20" t="n">
        <v>500</v>
      </c>
      <c r="I94" s="18">
        <f>IF(C94="","",IFERROR(INDEX(Справочники!$C$6:$C$45,MATCH(C94,Справочники!$A$6:$A$45,0)),""))</f>
        <v/>
      </c>
      <c r="J94" s="22">
        <f>IF(C94="","",IFERROR(INDEX(Справочники!$E$6:$E$45,MATCH(C94,Справочники!$A$6:$A$45,0)),""))</f>
        <v/>
      </c>
      <c r="K94" s="23" t="inlineStr">
        <is>
          <t>Соответствует</t>
        </is>
      </c>
      <c r="L94" s="20" t="inlineStr">
        <is>
          <t>Принято</t>
        </is>
      </c>
      <c r="M94" s="19" t="n">
        <v>46196</v>
      </c>
      <c r="N94" s="20" t="inlineStr">
        <is>
          <t>Смирнов К.</t>
        </is>
      </c>
      <c r="O94" s="23" t="inlineStr"/>
      <c r="P94" s="18">
        <f>IF(B94="","",IF(M94="",IF(L94="Карантин",INT(TODAY())-B94,""),M94-B94))</f>
        <v/>
      </c>
      <c r="Q94" s="18">
        <f>IF(C94="","",IFERROR(INDEX(Справочники!$D$6:$D$45,MATCH(C94,Справочники!$A$6:$A$45,0)),""))</f>
        <v/>
      </c>
    </row>
    <row r="95">
      <c r="A95" s="18">
        <f>IF(B95="","",ROW()-5)</f>
        <v/>
      </c>
      <c r="B95" s="19" t="n">
        <v>46196</v>
      </c>
      <c r="C95" s="20" t="inlineStr">
        <is>
          <t>М-03</t>
        </is>
      </c>
      <c r="D95" s="21">
        <f>IF(C95="","",IFERROR(INDEX(Справочники!$B$6:$B$45,MATCH(C95,Справочники!$A$6:$A$45,0)),"нет в справочнике"))</f>
        <v/>
      </c>
      <c r="E95" s="20" t="inlineStr">
        <is>
          <t>ООО «СварТехСнаб»</t>
        </is>
      </c>
      <c r="F95" s="20" t="inlineStr">
        <is>
          <t>С-1651 от 23.06</t>
        </is>
      </c>
      <c r="G95" s="20" t="inlineStr">
        <is>
          <t>П126</t>
        </is>
      </c>
      <c r="H95" s="20" t="n">
        <v>200</v>
      </c>
      <c r="I95" s="18">
        <f>IF(C95="","",IFERROR(INDEX(Справочники!$C$6:$C$45,MATCH(C95,Справочники!$A$6:$A$45,0)),""))</f>
        <v/>
      </c>
      <c r="J95" s="22">
        <f>IF(C95="","",IFERROR(INDEX(Справочники!$E$6:$E$45,MATCH(C95,Справочники!$A$6:$A$45,0)),""))</f>
        <v/>
      </c>
      <c r="K95" s="23" t="inlineStr">
        <is>
          <t>Соответствует</t>
        </is>
      </c>
      <c r="L95" s="20" t="inlineStr">
        <is>
          <t>Принято</t>
        </is>
      </c>
      <c r="M95" s="19" t="n">
        <v>46197</v>
      </c>
      <c r="N95" s="20" t="inlineStr">
        <is>
          <t>Орлова Т.</t>
        </is>
      </c>
      <c r="O95" s="23" t="inlineStr"/>
      <c r="P95" s="18">
        <f>IF(B95="","",IF(M95="",IF(L95="Карантин",INT(TODAY())-B95,""),M95-B95))</f>
        <v/>
      </c>
      <c r="Q95" s="18">
        <f>IF(C95="","",IFERROR(INDEX(Справочники!$D$6:$D$45,MATCH(C95,Справочники!$A$6:$A$45,0)),""))</f>
        <v/>
      </c>
    </row>
    <row r="96">
      <c r="A96" s="18">
        <f>IF(B96="","",ROW()-5)</f>
        <v/>
      </c>
      <c r="B96" s="19" t="n">
        <v>46200</v>
      </c>
      <c r="C96" s="20" t="inlineStr">
        <is>
          <t>М-10</t>
        </is>
      </c>
      <c r="D96" s="21">
        <f>IF(C96="","",IFERROR(INDEX(Справочники!$B$6:$B$45,MATCH(C96,Справочники!$A$6:$A$45,0)),"нет в справочнике"))</f>
        <v/>
      </c>
      <c r="E96" s="20" t="inlineStr">
        <is>
          <t>ООО «Подшипник-Центр»</t>
        </is>
      </c>
      <c r="F96" s="20" t="inlineStr">
        <is>
          <t>С-8541 от 27.06</t>
        </is>
      </c>
      <c r="G96" s="20" t="inlineStr">
        <is>
          <t>П411</t>
        </is>
      </c>
      <c r="H96" s="20" t="n">
        <v>50</v>
      </c>
      <c r="I96" s="18">
        <f>IF(C96="","",IFERROR(INDEX(Справочники!$C$6:$C$45,MATCH(C96,Справочники!$A$6:$A$45,0)),""))</f>
        <v/>
      </c>
      <c r="J96" s="22">
        <f>IF(C96="","",IFERROR(INDEX(Справочники!$E$6:$E$45,MATCH(C96,Справочники!$A$6:$A$45,0)),""))</f>
        <v/>
      </c>
      <c r="K96" s="23" t="inlineStr">
        <is>
          <t>Соответствует</t>
        </is>
      </c>
      <c r="L96" s="20" t="inlineStr">
        <is>
          <t>Принято</t>
        </is>
      </c>
      <c r="M96" s="19" t="n">
        <v>46200</v>
      </c>
      <c r="N96" s="20" t="inlineStr">
        <is>
          <t>Орлова Т.</t>
        </is>
      </c>
      <c r="O96" s="23" t="inlineStr"/>
      <c r="P96" s="18">
        <f>IF(B96="","",IF(M96="",IF(L96="Карантин",INT(TODAY())-B96,""),M96-B96))</f>
        <v/>
      </c>
      <c r="Q96" s="18">
        <f>IF(C96="","",IFERROR(INDEX(Справочники!$D$6:$D$45,MATCH(C96,Справочники!$A$6:$A$45,0)),""))</f>
        <v/>
      </c>
    </row>
    <row r="97">
      <c r="A97" s="18">
        <f>IF(B97="","",ROW()-5)</f>
        <v/>
      </c>
      <c r="B97" s="19" t="n">
        <v>46200</v>
      </c>
      <c r="C97" s="20" t="inlineStr">
        <is>
          <t>М-09</t>
        </is>
      </c>
      <c r="D97" s="21">
        <f>IF(C97="","",IFERROR(INDEX(Справочники!$B$6:$B$45,MATCH(C97,Справочники!$A$6:$A$45,0)),"нет в справочнике"))</f>
        <v/>
      </c>
      <c r="E97" s="20" t="inlineStr">
        <is>
          <t>ООО «Крепёж-Опт»</t>
        </is>
      </c>
      <c r="F97" s="20" t="inlineStr">
        <is>
          <t>С-5899 от 27.06</t>
        </is>
      </c>
      <c r="G97" s="20" t="inlineStr">
        <is>
          <t>П101</t>
        </is>
      </c>
      <c r="H97" s="20" t="n">
        <v>500</v>
      </c>
      <c r="I97" s="18">
        <f>IF(C97="","",IFERROR(INDEX(Справочники!$C$6:$C$45,MATCH(C97,Справочники!$A$6:$A$45,0)),""))</f>
        <v/>
      </c>
      <c r="J97" s="22">
        <f>IF(C97="","",IFERROR(INDEX(Справочники!$E$6:$E$45,MATCH(C97,Справочники!$A$6:$A$45,0)),""))</f>
        <v/>
      </c>
      <c r="K97" s="23" t="inlineStr">
        <is>
          <t>Соответствует</t>
        </is>
      </c>
      <c r="L97" s="20" t="inlineStr">
        <is>
          <t>Принято</t>
        </is>
      </c>
      <c r="M97" s="19" t="n">
        <v>46201</v>
      </c>
      <c r="N97" s="20" t="inlineStr">
        <is>
          <t>Смирнов К.</t>
        </is>
      </c>
      <c r="O97" s="23" t="inlineStr"/>
      <c r="P97" s="18">
        <f>IF(B97="","",IF(M97="",IF(L97="Карантин",INT(TODAY())-B97,""),M97-B97))</f>
        <v/>
      </c>
      <c r="Q97" s="18">
        <f>IF(C97="","",IFERROR(INDEX(Справочники!$D$6:$D$45,MATCH(C97,Справочники!$A$6:$A$45,0)),""))</f>
        <v/>
      </c>
    </row>
    <row r="98">
      <c r="A98" s="18">
        <f>IF(B98="","",ROW()-5)</f>
        <v/>
      </c>
      <c r="B98" s="19" t="n">
        <v>46203</v>
      </c>
      <c r="C98" s="20" t="inlineStr">
        <is>
          <t>М-08</t>
        </is>
      </c>
      <c r="D98" s="21">
        <f>IF(C98="","",IFERROR(INDEX(Справочники!$B$6:$B$45,MATCH(C98,Справочники!$A$6:$A$45,0)),"нет в справочнике"))</f>
        <v/>
      </c>
      <c r="E98" s="20" t="inlineStr">
        <is>
          <t>ООО «КабельТорг»</t>
        </is>
      </c>
      <c r="F98" s="20" t="inlineStr">
        <is>
          <t>С-3461 от 30.06</t>
        </is>
      </c>
      <c r="G98" s="20" t="inlineStr">
        <is>
          <t>П461</t>
        </is>
      </c>
      <c r="H98" s="20" t="n">
        <v>1000</v>
      </c>
      <c r="I98" s="18">
        <f>IF(C98="","",IFERROR(INDEX(Справочники!$C$6:$C$45,MATCH(C98,Справочники!$A$6:$A$45,0)),""))</f>
        <v/>
      </c>
      <c r="J98" s="22">
        <f>IF(C98="","",IFERROR(INDEX(Справочники!$E$6:$E$45,MATCH(C98,Справочники!$A$6:$A$45,0)),""))</f>
        <v/>
      </c>
      <c r="K98" s="23" t="inlineStr">
        <is>
          <t>Соответствует</t>
        </is>
      </c>
      <c r="L98" s="20" t="inlineStr">
        <is>
          <t>Принято</t>
        </is>
      </c>
      <c r="M98" s="19" t="n">
        <v>46203</v>
      </c>
      <c r="N98" s="20" t="inlineStr">
        <is>
          <t>Иванова Е.</t>
        </is>
      </c>
      <c r="O98" s="23" t="inlineStr"/>
      <c r="P98" s="18">
        <f>IF(B98="","",IF(M98="",IF(L98="Карантин",INT(TODAY())-B98,""),M98-B98))</f>
        <v/>
      </c>
      <c r="Q98" s="18">
        <f>IF(C98="","",IFERROR(INDEX(Справочники!$D$6:$D$45,MATCH(C98,Справочники!$A$6:$A$45,0)),""))</f>
        <v/>
      </c>
    </row>
    <row r="99">
      <c r="A99" s="18">
        <f>IF(B99="","",ROW()-5)</f>
        <v/>
      </c>
      <c r="B99" s="19" t="n">
        <v>46203</v>
      </c>
      <c r="C99" s="20" t="inlineStr">
        <is>
          <t>М-07</t>
        </is>
      </c>
      <c r="D99" s="21">
        <f>IF(C99="","",IFERROR(INDEX(Справочники!$B$6:$B$45,MATCH(C99,Справочники!$A$6:$A$45,0)),"нет в справочнике"))</f>
        <v/>
      </c>
      <c r="E99" s="20" t="inlineStr">
        <is>
          <t>ООО «Подшипник-Центр»</t>
        </is>
      </c>
      <c r="F99" s="20" t="inlineStr">
        <is>
          <t>С-6636 от 30.06</t>
        </is>
      </c>
      <c r="G99" s="20" t="inlineStr">
        <is>
          <t>П117</t>
        </is>
      </c>
      <c r="H99" s="20" t="n">
        <v>1000</v>
      </c>
      <c r="I99" s="18">
        <f>IF(C99="","",IFERROR(INDEX(Справочники!$C$6:$C$45,MATCH(C99,Справочники!$A$6:$A$45,0)),""))</f>
        <v/>
      </c>
      <c r="J99" s="22">
        <f>IF(C99="","",IFERROR(INDEX(Справочники!$E$6:$E$45,MATCH(C99,Справочники!$A$6:$A$45,0)),""))</f>
        <v/>
      </c>
      <c r="K99" s="23" t="inlineStr">
        <is>
          <t>Соответствует</t>
        </is>
      </c>
      <c r="L99" s="20" t="inlineStr">
        <is>
          <t>Принято</t>
        </is>
      </c>
      <c r="M99" s="19" t="n">
        <v>46204</v>
      </c>
      <c r="N99" s="20" t="inlineStr">
        <is>
          <t>Иванова Е.</t>
        </is>
      </c>
      <c r="O99" s="23" t="inlineStr"/>
      <c r="P99" s="18">
        <f>IF(B99="","",IF(M99="",IF(L99="Карантин",INT(TODAY())-B99,""),M99-B99))</f>
        <v/>
      </c>
      <c r="Q99" s="18">
        <f>IF(C99="","",IFERROR(INDEX(Справочники!$D$6:$D$45,MATCH(C99,Справочники!$A$6:$A$45,0)),""))</f>
        <v/>
      </c>
    </row>
    <row r="100">
      <c r="A100" s="18">
        <f>IF(B100="","",ROW()-5)</f>
        <v/>
      </c>
      <c r="B100" s="19" t="n">
        <v>46205</v>
      </c>
      <c r="C100" s="20" t="inlineStr">
        <is>
          <t>М-10</t>
        </is>
      </c>
      <c r="D100" s="21">
        <f>IF(C100="","",IFERROR(INDEX(Справочники!$B$6:$B$45,MATCH(C100,Справочники!$A$6:$A$45,0)),"нет в справочнике"))</f>
        <v/>
      </c>
      <c r="E100" s="20" t="inlineStr">
        <is>
          <t>ООО «Подшипник-Центр»</t>
        </is>
      </c>
      <c r="F100" s="20" t="inlineStr">
        <is>
          <t>С-6136 от 02.07</t>
        </is>
      </c>
      <c r="G100" s="20" t="inlineStr">
        <is>
          <t>П400</t>
        </is>
      </c>
      <c r="H100" s="20" t="n">
        <v>100</v>
      </c>
      <c r="I100" s="18">
        <f>IF(C100="","",IFERROR(INDEX(Справочники!$C$6:$C$45,MATCH(C100,Справочники!$A$6:$A$45,0)),""))</f>
        <v/>
      </c>
      <c r="J100" s="22">
        <f>IF(C100="","",IFERROR(INDEX(Справочники!$E$6:$E$45,MATCH(C100,Справочники!$A$6:$A$45,0)),""))</f>
        <v/>
      </c>
      <c r="K100" s="23" t="inlineStr">
        <is>
          <t>Соответствует</t>
        </is>
      </c>
      <c r="L100" s="20" t="inlineStr">
        <is>
          <t>Принято</t>
        </is>
      </c>
      <c r="M100" s="19" t="n">
        <v>46205</v>
      </c>
      <c r="N100" s="20" t="inlineStr">
        <is>
          <t>Орлова Т.</t>
        </is>
      </c>
      <c r="O100" s="23" t="inlineStr"/>
      <c r="P100" s="18">
        <f>IF(B100="","",IF(M100="",IF(L100="Карантин",INT(TODAY())-B100,""),M100-B100))</f>
        <v/>
      </c>
      <c r="Q100" s="18">
        <f>IF(C100="","",IFERROR(INDEX(Справочники!$D$6:$D$45,MATCH(C100,Справочники!$A$6:$A$45,0)),""))</f>
        <v/>
      </c>
    </row>
    <row r="101">
      <c r="A101" s="18">
        <f>IF(B101="","",ROW()-5)</f>
        <v/>
      </c>
      <c r="B101" s="19" t="n">
        <v>46206</v>
      </c>
      <c r="C101" s="20" t="inlineStr">
        <is>
          <t>М-05</t>
        </is>
      </c>
      <c r="D101" s="21">
        <f>IF(C101="","",IFERROR(INDEX(Справочники!$B$6:$B$45,MATCH(C101,Справочники!$A$6:$A$45,0)),"нет в справочнике"))</f>
        <v/>
      </c>
      <c r="E101" s="20" t="inlineStr">
        <is>
          <t>ООО «Крепёж-Опт»</t>
        </is>
      </c>
      <c r="F101" s="20" t="inlineStr">
        <is>
          <t>С-6511 от 03.07</t>
        </is>
      </c>
      <c r="G101" s="20" t="inlineStr">
        <is>
          <t>П198</t>
        </is>
      </c>
      <c r="H101" s="20" t="n">
        <v>50</v>
      </c>
      <c r="I101" s="18">
        <f>IF(C101="","",IFERROR(INDEX(Справочники!$C$6:$C$45,MATCH(C101,Справочники!$A$6:$A$45,0)),""))</f>
        <v/>
      </c>
      <c r="J101" s="22">
        <f>IF(C101="","",IFERROR(INDEX(Справочники!$E$6:$E$45,MATCH(C101,Справочники!$A$6:$A$45,0)),""))</f>
        <v/>
      </c>
      <c r="K101" s="23" t="inlineStr">
        <is>
          <t>Соответствует</t>
        </is>
      </c>
      <c r="L101" s="20" t="inlineStr">
        <is>
          <t>Принято</t>
        </is>
      </c>
      <c r="M101" s="19" t="n">
        <v>46208</v>
      </c>
      <c r="N101" s="20" t="inlineStr">
        <is>
          <t>Иванова Е.</t>
        </is>
      </c>
      <c r="O101" s="23" t="inlineStr"/>
      <c r="P101" s="18">
        <f>IF(B101="","",IF(M101="",IF(L101="Карантин",INT(TODAY())-B101,""),M101-B101))</f>
        <v/>
      </c>
      <c r="Q101" s="18">
        <f>IF(C101="","",IFERROR(INDEX(Справочники!$D$6:$D$45,MATCH(C101,Справочники!$A$6:$A$45,0)),""))</f>
        <v/>
      </c>
    </row>
    <row r="102">
      <c r="A102" s="18">
        <f>IF(B102="","",ROW()-5)</f>
        <v/>
      </c>
      <c r="B102" s="19" t="n">
        <v>46209</v>
      </c>
      <c r="C102" s="20" t="inlineStr">
        <is>
          <t>М-10</t>
        </is>
      </c>
      <c r="D102" s="21">
        <f>IF(C102="","",IFERROR(INDEX(Справочники!$B$6:$B$45,MATCH(C102,Справочники!$A$6:$A$45,0)),"нет в справочнике"))</f>
        <v/>
      </c>
      <c r="E102" s="20" t="inlineStr">
        <is>
          <t>ООО «Подшипник-Центр»</t>
        </is>
      </c>
      <c r="F102" s="20" t="inlineStr">
        <is>
          <t>С-2635 от 06.07</t>
        </is>
      </c>
      <c r="G102" s="20" t="inlineStr">
        <is>
          <t>П518</t>
        </is>
      </c>
      <c r="H102" s="20" t="n">
        <v>500</v>
      </c>
      <c r="I102" s="18">
        <f>IF(C102="","",IFERROR(INDEX(Справочники!$C$6:$C$45,MATCH(C102,Справочники!$A$6:$A$45,0)),""))</f>
        <v/>
      </c>
      <c r="J102" s="22">
        <f>IF(C102="","",IFERROR(INDEX(Справочники!$E$6:$E$45,MATCH(C102,Справочники!$A$6:$A$45,0)),""))</f>
        <v/>
      </c>
      <c r="K102" s="23" t="inlineStr">
        <is>
          <t>Соответствует</t>
        </is>
      </c>
      <c r="L102" s="20" t="inlineStr">
        <is>
          <t>Принято</t>
        </is>
      </c>
      <c r="M102" s="19" t="n">
        <v>46211</v>
      </c>
      <c r="N102" s="20" t="inlineStr">
        <is>
          <t>Смирнов К.</t>
        </is>
      </c>
      <c r="O102" s="23" t="inlineStr"/>
      <c r="P102" s="18">
        <f>IF(B102="","",IF(M102="",IF(L102="Карантин",INT(TODAY())-B102,""),M102-B102))</f>
        <v/>
      </c>
      <c r="Q102" s="18">
        <f>IF(C102="","",IFERROR(INDEX(Справочники!$D$6:$D$45,MATCH(C102,Справочники!$A$6:$A$45,0)),""))</f>
        <v/>
      </c>
    </row>
    <row r="103">
      <c r="A103" s="18">
        <f>IF(B103="","",ROW()-5)</f>
        <v/>
      </c>
      <c r="B103" s="19" t="n">
        <v>46210</v>
      </c>
      <c r="C103" s="20" t="inlineStr">
        <is>
          <t>М-02</t>
        </is>
      </c>
      <c r="D103" s="21">
        <f>IF(C103="","",IFERROR(INDEX(Справочники!$B$6:$B$45,MATCH(C103,Справочники!$A$6:$A$45,0)),"нет в справочнике"))</f>
        <v/>
      </c>
      <c r="E103" s="20" t="inlineStr">
        <is>
          <t>АО «СтальПром»</t>
        </is>
      </c>
      <c r="F103" s="20" t="inlineStr">
        <is>
          <t>С-2128 от 07.07</t>
        </is>
      </c>
      <c r="G103" s="20" t="inlineStr">
        <is>
          <t>П284</t>
        </is>
      </c>
      <c r="H103" s="20" t="n">
        <v>20</v>
      </c>
      <c r="I103" s="18">
        <f>IF(C103="","",IFERROR(INDEX(Справочники!$C$6:$C$45,MATCH(C103,Справочники!$A$6:$A$45,0)),""))</f>
        <v/>
      </c>
      <c r="J103" s="22">
        <f>IF(C103="","",IFERROR(INDEX(Справочники!$E$6:$E$45,MATCH(C103,Справочники!$A$6:$A$45,0)),""))</f>
        <v/>
      </c>
      <c r="K103" s="23" t="inlineStr">
        <is>
          <t>Соответствует</t>
        </is>
      </c>
      <c r="L103" s="20" t="inlineStr">
        <is>
          <t>Принято</t>
        </is>
      </c>
      <c r="M103" s="19" t="n">
        <v>46211</v>
      </c>
      <c r="N103" s="20" t="inlineStr">
        <is>
          <t>Иванова Е.</t>
        </is>
      </c>
      <c r="O103" s="23" t="inlineStr"/>
      <c r="P103" s="18">
        <f>IF(B103="","",IF(M103="",IF(L103="Карантин",INT(TODAY())-B103,""),M103-B103))</f>
        <v/>
      </c>
      <c r="Q103" s="18">
        <f>IF(C103="","",IFERROR(INDEX(Справочники!$D$6:$D$45,MATCH(C103,Справочники!$A$6:$A$45,0)),""))</f>
        <v/>
      </c>
    </row>
    <row r="104">
      <c r="A104" s="18">
        <f>IF(B104="","",ROW()-5)</f>
        <v/>
      </c>
      <c r="B104" s="19" t="n">
        <v>46211</v>
      </c>
      <c r="C104" s="20" t="inlineStr">
        <is>
          <t>М-02</t>
        </is>
      </c>
      <c r="D104" s="21">
        <f>IF(C104="","",IFERROR(INDEX(Справочники!$B$6:$B$45,MATCH(C104,Справочники!$A$6:$A$45,0)),"нет в справочнике"))</f>
        <v/>
      </c>
      <c r="E104" s="20" t="inlineStr">
        <is>
          <t>АО «СтальПром»</t>
        </is>
      </c>
      <c r="F104" s="20" t="inlineStr">
        <is>
          <t>С-9381 от 08.07</t>
        </is>
      </c>
      <c r="G104" s="20" t="inlineStr">
        <is>
          <t>П431</t>
        </is>
      </c>
      <c r="H104" s="20" t="n">
        <v>9.6</v>
      </c>
      <c r="I104" s="18">
        <f>IF(C104="","",IFERROR(INDEX(Справочники!$C$6:$C$45,MATCH(C104,Справочники!$A$6:$A$45,0)),""))</f>
        <v/>
      </c>
      <c r="J104" s="22">
        <f>IF(C104="","",IFERROR(INDEX(Справочники!$E$6:$E$45,MATCH(C104,Справочники!$A$6:$A$45,0)),""))</f>
        <v/>
      </c>
      <c r="K104" s="23" t="inlineStr">
        <is>
          <t>Соответствует</t>
        </is>
      </c>
      <c r="L104" s="20" t="inlineStr">
        <is>
          <t>Принято</t>
        </is>
      </c>
      <c r="M104" s="19" t="n">
        <v>46211</v>
      </c>
      <c r="N104" s="20" t="inlineStr">
        <is>
          <t>Смирнов К.</t>
        </is>
      </c>
      <c r="O104" s="23" t="inlineStr"/>
      <c r="P104" s="18">
        <f>IF(B104="","",IF(M104="",IF(L104="Карантин",INT(TODAY())-B104,""),M104-B104))</f>
        <v/>
      </c>
      <c r="Q104" s="18">
        <f>IF(C104="","",IFERROR(INDEX(Справочники!$D$6:$D$45,MATCH(C104,Справочники!$A$6:$A$45,0)),""))</f>
        <v/>
      </c>
    </row>
    <row r="105">
      <c r="A105" s="18">
        <f>IF(B105="","",ROW()-5)</f>
        <v/>
      </c>
      <c r="B105" s="19" t="n">
        <v>46211</v>
      </c>
      <c r="C105" s="20" t="inlineStr">
        <is>
          <t>М-02</t>
        </is>
      </c>
      <c r="D105" s="21">
        <f>IF(C105="","",IFERROR(INDEX(Справочники!$B$6:$B$45,MATCH(C105,Справочники!$A$6:$A$45,0)),"нет в справочнике"))</f>
        <v/>
      </c>
      <c r="E105" s="20" t="inlineStr">
        <is>
          <t>АО «СтальПром»</t>
        </is>
      </c>
      <c r="F105" s="20" t="inlineStr">
        <is>
          <t>С-8167 от 08.07</t>
        </is>
      </c>
      <c r="G105" s="20" t="inlineStr">
        <is>
          <t>П217</t>
        </is>
      </c>
      <c r="H105" s="20" t="n">
        <v>15.8</v>
      </c>
      <c r="I105" s="18">
        <f>IF(C105="","",IFERROR(INDEX(Справочники!$C$6:$C$45,MATCH(C105,Справочники!$A$6:$A$45,0)),""))</f>
        <v/>
      </c>
      <c r="J105" s="22">
        <f>IF(C105="","",IFERROR(INDEX(Справочники!$E$6:$E$45,MATCH(C105,Справочники!$A$6:$A$45,0)),""))</f>
        <v/>
      </c>
      <c r="K105" s="23" t="inlineStr">
        <is>
          <t>Соответствует</t>
        </is>
      </c>
      <c r="L105" s="20" t="inlineStr">
        <is>
          <t>Принято</t>
        </is>
      </c>
      <c r="M105" s="19" t="n">
        <v>46211</v>
      </c>
      <c r="N105" s="20" t="inlineStr">
        <is>
          <t>Смирнов К.</t>
        </is>
      </c>
      <c r="O105" s="23" t="inlineStr"/>
      <c r="P105" s="18">
        <f>IF(B105="","",IF(M105="",IF(L105="Карантин",INT(TODAY())-B105,""),M105-B105))</f>
        <v/>
      </c>
      <c r="Q105" s="18">
        <f>IF(C105="","",IFERROR(INDEX(Справочники!$D$6:$D$45,MATCH(C105,Справочники!$A$6:$A$45,0)),""))</f>
        <v/>
      </c>
    </row>
    <row r="106">
      <c r="A106" s="18">
        <f>IF(B106="","",ROW()-5)</f>
        <v/>
      </c>
      <c r="B106" s="19" t="n">
        <v>46213</v>
      </c>
      <c r="C106" s="20" t="inlineStr">
        <is>
          <t>М-07</t>
        </is>
      </c>
      <c r="D106" s="21">
        <f>IF(C106="","",IFERROR(INDEX(Справочники!$B$6:$B$45,MATCH(C106,Справочники!$A$6:$A$45,0)),"нет в справочнике"))</f>
        <v/>
      </c>
      <c r="E106" s="20" t="inlineStr">
        <is>
          <t>ООО «Подшипник-Центр»</t>
        </is>
      </c>
      <c r="F106" s="20" t="inlineStr">
        <is>
          <t>С-4144 от 10.07</t>
        </is>
      </c>
      <c r="G106" s="20" t="inlineStr">
        <is>
          <t>П433</t>
        </is>
      </c>
      <c r="H106" s="20" t="n">
        <v>1000</v>
      </c>
      <c r="I106" s="18">
        <f>IF(C106="","",IFERROR(INDEX(Справочники!$C$6:$C$45,MATCH(C106,Справочники!$A$6:$A$45,0)),""))</f>
        <v/>
      </c>
      <c r="J106" s="22">
        <f>IF(C106="","",IFERROR(INDEX(Справочники!$E$6:$E$45,MATCH(C106,Справочники!$A$6:$A$45,0)),""))</f>
        <v/>
      </c>
      <c r="K106" s="23" t="inlineStr">
        <is>
          <t>Соответствует</t>
        </is>
      </c>
      <c r="L106" s="20" t="inlineStr">
        <is>
          <t>Принято</t>
        </is>
      </c>
      <c r="M106" s="19" t="n">
        <v>46215</v>
      </c>
      <c r="N106" s="20" t="inlineStr">
        <is>
          <t>Орлова Т.</t>
        </is>
      </c>
      <c r="O106" s="23" t="inlineStr"/>
      <c r="P106" s="18">
        <f>IF(B106="","",IF(M106="",IF(L106="Карантин",INT(TODAY())-B106,""),M106-B106))</f>
        <v/>
      </c>
      <c r="Q106" s="18">
        <f>IF(C106="","",IFERROR(INDEX(Справочники!$D$6:$D$45,MATCH(C106,Справочники!$A$6:$A$45,0)),""))</f>
        <v/>
      </c>
    </row>
    <row r="107">
      <c r="A107" s="18">
        <f>IF(B107="","",ROW()-5)</f>
        <v/>
      </c>
      <c r="B107" s="19" t="n">
        <v>46213</v>
      </c>
      <c r="C107" s="20" t="inlineStr">
        <is>
          <t>М-09</t>
        </is>
      </c>
      <c r="D107" s="21">
        <f>IF(C107="","",IFERROR(INDEX(Справочники!$B$6:$B$45,MATCH(C107,Справочники!$A$6:$A$45,0)),"нет в справочнике"))</f>
        <v/>
      </c>
      <c r="E107" s="20" t="inlineStr">
        <is>
          <t>ООО «Крепёж-Опт»</t>
        </is>
      </c>
      <c r="F107" s="20" t="inlineStr">
        <is>
          <t>С-9194 от 10.07</t>
        </is>
      </c>
      <c r="G107" s="20" t="inlineStr">
        <is>
          <t>П361</t>
        </is>
      </c>
      <c r="H107" s="20" t="n">
        <v>1000</v>
      </c>
      <c r="I107" s="18">
        <f>IF(C107="","",IFERROR(INDEX(Справочники!$C$6:$C$45,MATCH(C107,Справочники!$A$6:$A$45,0)),""))</f>
        <v/>
      </c>
      <c r="J107" s="22">
        <f>IF(C107="","",IFERROR(INDEX(Справочники!$E$6:$E$45,MATCH(C107,Справочники!$A$6:$A$45,0)),""))</f>
        <v/>
      </c>
      <c r="K107" s="23" t="inlineStr">
        <is>
          <t>Соответствует</t>
        </is>
      </c>
      <c r="L107" s="20" t="inlineStr">
        <is>
          <t>Принято</t>
        </is>
      </c>
      <c r="M107" s="19" t="n">
        <v>46213</v>
      </c>
      <c r="N107" s="20" t="inlineStr">
        <is>
          <t>Смирнов К.</t>
        </is>
      </c>
      <c r="O107" s="23" t="inlineStr"/>
      <c r="P107" s="18">
        <f>IF(B107="","",IF(M107="",IF(L107="Карантин",INT(TODAY())-B107,""),M107-B107))</f>
        <v/>
      </c>
      <c r="Q107" s="18">
        <f>IF(C107="","",IFERROR(INDEX(Справочники!$D$6:$D$45,MATCH(C107,Справочники!$A$6:$A$45,0)),""))</f>
        <v/>
      </c>
    </row>
    <row r="108">
      <c r="A108" s="18">
        <f>IF(B108="","",ROW()-5)</f>
        <v/>
      </c>
      <c r="B108" s="19" t="n">
        <v>46214</v>
      </c>
      <c r="C108" s="20" t="inlineStr">
        <is>
          <t>М-08</t>
        </is>
      </c>
      <c r="D108" s="21">
        <f>IF(C108="","",IFERROR(INDEX(Справочники!$B$6:$B$45,MATCH(C108,Справочники!$A$6:$A$45,0)),"нет в справочнике"))</f>
        <v/>
      </c>
      <c r="E108" s="20" t="inlineStr">
        <is>
          <t>ООО «КабельТорг»</t>
        </is>
      </c>
      <c r="F108" s="20" t="inlineStr">
        <is>
          <t>С-8294 от 11.07</t>
        </is>
      </c>
      <c r="G108" s="20" t="inlineStr">
        <is>
          <t>П339</t>
        </is>
      </c>
      <c r="H108" s="20" t="n">
        <v>1000</v>
      </c>
      <c r="I108" s="18">
        <f>IF(C108="","",IFERROR(INDEX(Справочники!$C$6:$C$45,MATCH(C108,Справочники!$A$6:$A$45,0)),""))</f>
        <v/>
      </c>
      <c r="J108" s="22">
        <f>IF(C108="","",IFERROR(INDEX(Справочники!$E$6:$E$45,MATCH(C108,Справочники!$A$6:$A$45,0)),""))</f>
        <v/>
      </c>
      <c r="K108" s="23" t="inlineStr">
        <is>
          <t>Соответствует</t>
        </is>
      </c>
      <c r="L108" s="20" t="inlineStr">
        <is>
          <t>Принято</t>
        </is>
      </c>
      <c r="M108" s="19" t="n">
        <v>46216</v>
      </c>
      <c r="N108" s="20" t="inlineStr">
        <is>
          <t>Иванова Е.</t>
        </is>
      </c>
      <c r="O108" s="23" t="inlineStr"/>
      <c r="P108" s="18">
        <f>IF(B108="","",IF(M108="",IF(L108="Карантин",INT(TODAY())-B108,""),M108-B108))</f>
        <v/>
      </c>
      <c r="Q108" s="18">
        <f>IF(C108="","",IFERROR(INDEX(Справочники!$D$6:$D$45,MATCH(C108,Справочники!$A$6:$A$45,0)),""))</f>
        <v/>
      </c>
    </row>
    <row r="109">
      <c r="A109" s="18">
        <f>IF(B109="","",ROW()-5)</f>
        <v/>
      </c>
      <c r="B109" s="19" t="n">
        <v>46215</v>
      </c>
      <c r="C109" s="20" t="inlineStr">
        <is>
          <t>М-02</t>
        </is>
      </c>
      <c r="D109" s="21">
        <f>IF(C109="","",IFERROR(INDEX(Справочники!$B$6:$B$45,MATCH(C109,Справочники!$A$6:$A$45,0)),"нет в справочнике"))</f>
        <v/>
      </c>
      <c r="E109" s="20" t="inlineStr">
        <is>
          <t>АО «СтальПром»</t>
        </is>
      </c>
      <c r="F109" s="20" t="inlineStr">
        <is>
          <t>С-5126 от 12.07</t>
        </is>
      </c>
      <c r="G109" s="20" t="inlineStr">
        <is>
          <t>П742</t>
        </is>
      </c>
      <c r="H109" s="20" t="n">
        <v>17.4</v>
      </c>
      <c r="I109" s="18">
        <f>IF(C109="","",IFERROR(INDEX(Справочники!$C$6:$C$45,MATCH(C109,Справочники!$A$6:$A$45,0)),""))</f>
        <v/>
      </c>
      <c r="J109" s="22">
        <f>IF(C109="","",IFERROR(INDEX(Справочники!$E$6:$E$45,MATCH(C109,Справочники!$A$6:$A$45,0)),""))</f>
        <v/>
      </c>
      <c r="K109" s="23" t="inlineStr">
        <is>
          <t>Соответствует</t>
        </is>
      </c>
      <c r="L109" s="20" t="inlineStr">
        <is>
          <t>Принято</t>
        </is>
      </c>
      <c r="M109" s="19" t="n">
        <v>46216</v>
      </c>
      <c r="N109" s="20" t="inlineStr">
        <is>
          <t>Смирнов К.</t>
        </is>
      </c>
      <c r="O109" s="23" t="inlineStr"/>
      <c r="P109" s="18">
        <f>IF(B109="","",IF(M109="",IF(L109="Карантин",INT(TODAY())-B109,""),M109-B109))</f>
        <v/>
      </c>
      <c r="Q109" s="18">
        <f>IF(C109="","",IFERROR(INDEX(Справочники!$D$6:$D$45,MATCH(C109,Справочники!$A$6:$A$45,0)),""))</f>
        <v/>
      </c>
    </row>
    <row r="110">
      <c r="A110" s="18">
        <f>IF(B110="","",ROW()-5)</f>
        <v/>
      </c>
      <c r="B110" s="19" t="n">
        <v>46224</v>
      </c>
      <c r="C110" s="20" t="inlineStr">
        <is>
          <t>М-08</t>
        </is>
      </c>
      <c r="D110" s="21">
        <f>IF(C110="","",IFERROR(INDEX(Справочники!$B$6:$B$45,MATCH(C110,Справочники!$A$6:$A$45,0)),"нет в справочнике"))</f>
        <v/>
      </c>
      <c r="E110" s="20" t="inlineStr">
        <is>
          <t>ООО «КабельТорг»</t>
        </is>
      </c>
      <c r="F110" s="20" t="inlineStr">
        <is>
          <t>С-7069 от 21.07</t>
        </is>
      </c>
      <c r="G110" s="20" t="inlineStr">
        <is>
          <t>П891</t>
        </is>
      </c>
      <c r="H110" s="20" t="n">
        <v>1000</v>
      </c>
      <c r="I110" s="18">
        <f>IF(C110="","",IFERROR(INDEX(Справочники!$C$6:$C$45,MATCH(C110,Справочники!$A$6:$A$45,0)),""))</f>
        <v/>
      </c>
      <c r="J110" s="22">
        <f>IF(C110="","",IFERROR(INDEX(Справочники!$E$6:$E$45,MATCH(C110,Справочники!$A$6:$A$45,0)),""))</f>
        <v/>
      </c>
      <c r="K110" s="23" t="inlineStr">
        <is>
          <t>Соответствует</t>
        </is>
      </c>
      <c r="L110" s="20" t="inlineStr">
        <is>
          <t>Принято</t>
        </is>
      </c>
      <c r="M110" s="19" t="n">
        <v>46224</v>
      </c>
      <c r="N110" s="20" t="inlineStr">
        <is>
          <t>Иванова Е.</t>
        </is>
      </c>
      <c r="O110" s="23" t="inlineStr"/>
      <c r="P110" s="18">
        <f>IF(B110="","",IF(M110="",IF(L110="Карантин",INT(TODAY())-B110,""),M110-B110))</f>
        <v/>
      </c>
      <c r="Q110" s="18">
        <f>IF(C110="","",IFERROR(INDEX(Справочники!$D$6:$D$45,MATCH(C110,Справочники!$A$6:$A$45,0)),""))</f>
        <v/>
      </c>
    </row>
    <row r="111">
      <c r="A111" s="18">
        <f>IF(B111="","",ROW()-5)</f>
        <v/>
      </c>
      <c r="B111" s="19" t="n">
        <v>46224</v>
      </c>
      <c r="C111" s="20" t="inlineStr">
        <is>
          <t>М-05</t>
        </is>
      </c>
      <c r="D111" s="21">
        <f>IF(C111="","",IFERROR(INDEX(Справочники!$B$6:$B$45,MATCH(C111,Справочники!$A$6:$A$45,0)),"нет в справочнике"))</f>
        <v/>
      </c>
      <c r="E111" s="20" t="inlineStr">
        <is>
          <t>ООО «Крепёж-Опт»</t>
        </is>
      </c>
      <c r="F111" s="20" t="inlineStr">
        <is>
          <t>С-7894 от 21.07</t>
        </is>
      </c>
      <c r="G111" s="20" t="inlineStr">
        <is>
          <t>П941</t>
        </is>
      </c>
      <c r="H111" s="20" t="n">
        <v>500</v>
      </c>
      <c r="I111" s="18">
        <f>IF(C111="","",IFERROR(INDEX(Справочники!$C$6:$C$45,MATCH(C111,Справочники!$A$6:$A$45,0)),""))</f>
        <v/>
      </c>
      <c r="J111" s="22">
        <f>IF(C111="","",IFERROR(INDEX(Справочники!$E$6:$E$45,MATCH(C111,Справочники!$A$6:$A$45,0)),""))</f>
        <v/>
      </c>
      <c r="K111" s="23" t="inlineStr">
        <is>
          <t>Соответствует</t>
        </is>
      </c>
      <c r="L111" s="20" t="inlineStr">
        <is>
          <t>Принято</t>
        </is>
      </c>
      <c r="M111" s="19" t="n">
        <v>46224</v>
      </c>
      <c r="N111" s="20" t="inlineStr">
        <is>
          <t>Орлова Т.</t>
        </is>
      </c>
      <c r="O111" s="23" t="inlineStr"/>
      <c r="P111" s="18">
        <f>IF(B111="","",IF(M111="",IF(L111="Карантин",INT(TODAY())-B111,""),M111-B111))</f>
        <v/>
      </c>
      <c r="Q111" s="18">
        <f>IF(C111="","",IFERROR(INDEX(Справочники!$D$6:$D$45,MATCH(C111,Справочники!$A$6:$A$45,0)),""))</f>
        <v/>
      </c>
    </row>
    <row r="112">
      <c r="A112" s="18">
        <f>IF(B112="","",ROW()-5)</f>
        <v/>
      </c>
      <c r="B112" s="19" t="n">
        <v>46227</v>
      </c>
      <c r="C112" s="20" t="inlineStr">
        <is>
          <t>М-06</t>
        </is>
      </c>
      <c r="D112" s="21">
        <f>IF(C112="","",IFERROR(INDEX(Справочники!$B$6:$B$45,MATCH(C112,Справочники!$A$6:$A$45,0)),"нет в справочнике"))</f>
        <v/>
      </c>
      <c r="E112" s="20" t="inlineStr">
        <is>
          <t>ООО «ЭлектроМаш»</t>
        </is>
      </c>
      <c r="F112" s="20" t="inlineStr">
        <is>
          <t>С-1019 от 24.07</t>
        </is>
      </c>
      <c r="G112" s="20" t="inlineStr">
        <is>
          <t>П651</t>
        </is>
      </c>
      <c r="H112" s="20" t="n">
        <v>100</v>
      </c>
      <c r="I112" s="18">
        <f>IF(C112="","",IFERROR(INDEX(Справочники!$C$6:$C$45,MATCH(C112,Справочники!$A$6:$A$45,0)),""))</f>
        <v/>
      </c>
      <c r="J112" s="22">
        <f>IF(C112="","",IFERROR(INDEX(Справочники!$E$6:$E$45,MATCH(C112,Справочники!$A$6:$A$45,0)),""))</f>
        <v/>
      </c>
      <c r="K112" s="23" t="inlineStr">
        <is>
          <t>Соответствует</t>
        </is>
      </c>
      <c r="L112" s="20" t="inlineStr">
        <is>
          <t>Принято</t>
        </is>
      </c>
      <c r="M112" s="19" t="n">
        <v>46229</v>
      </c>
      <c r="N112" s="20" t="inlineStr">
        <is>
          <t>Смирнов К.</t>
        </is>
      </c>
      <c r="O112" s="23" t="inlineStr"/>
      <c r="P112" s="18">
        <f>IF(B112="","",IF(M112="",IF(L112="Карантин",INT(TODAY())-B112,""),M112-B112))</f>
        <v/>
      </c>
      <c r="Q112" s="18">
        <f>IF(C112="","",IFERROR(INDEX(Справочники!$D$6:$D$45,MATCH(C112,Справочники!$A$6:$A$45,0)),""))</f>
        <v/>
      </c>
    </row>
    <row r="113">
      <c r="A113" s="18">
        <f>IF(B113="","",ROW()-5)</f>
        <v/>
      </c>
      <c r="B113" s="19" t="n">
        <v>46227</v>
      </c>
      <c r="C113" s="20" t="inlineStr">
        <is>
          <t>М-08</t>
        </is>
      </c>
      <c r="D113" s="21">
        <f>IF(C113="","",IFERROR(INDEX(Справочники!$B$6:$B$45,MATCH(C113,Справочники!$A$6:$A$45,0)),"нет в справочнике"))</f>
        <v/>
      </c>
      <c r="E113" s="20" t="inlineStr">
        <is>
          <t>ООО «КабельТорг»</t>
        </is>
      </c>
      <c r="F113" s="20" t="inlineStr">
        <is>
          <t>С-9311 от 24.07</t>
        </is>
      </c>
      <c r="G113" s="20" t="inlineStr">
        <is>
          <t>П343</t>
        </is>
      </c>
      <c r="H113" s="20" t="n">
        <v>500</v>
      </c>
      <c r="I113" s="18">
        <f>IF(C113="","",IFERROR(INDEX(Справочники!$C$6:$C$45,MATCH(C113,Справочники!$A$6:$A$45,0)),""))</f>
        <v/>
      </c>
      <c r="J113" s="22">
        <f>IF(C113="","",IFERROR(INDEX(Справочники!$E$6:$E$45,MATCH(C113,Справочники!$A$6:$A$45,0)),""))</f>
        <v/>
      </c>
      <c r="K113" s="23" t="inlineStr">
        <is>
          <t>Нет сертификата на плавку</t>
        </is>
      </c>
      <c r="L113" s="20" t="inlineStr">
        <is>
          <t>Забраковано</t>
        </is>
      </c>
      <c r="M113" s="19" t="n">
        <v>46231</v>
      </c>
      <c r="N113" s="20" t="inlineStr">
        <is>
          <t>Орлова Т.</t>
        </is>
      </c>
      <c r="O113" s="23" t="inlineStr">
        <is>
          <t>Акт № 108</t>
        </is>
      </c>
      <c r="P113" s="18">
        <f>IF(B113="","",IF(M113="",IF(L113="Карантин",INT(TODAY())-B113,""),M113-B113))</f>
        <v/>
      </c>
      <c r="Q113" s="18">
        <f>IF(C113="","",IFERROR(INDEX(Справочники!$D$6:$D$45,MATCH(C113,Справочники!$A$6:$A$45,0)),""))</f>
        <v/>
      </c>
    </row>
    <row r="114">
      <c r="A114" s="18">
        <f>IF(B114="","",ROW()-5)</f>
        <v/>
      </c>
      <c r="B114" s="19" t="n">
        <v>46231</v>
      </c>
      <c r="C114" s="20" t="inlineStr">
        <is>
          <t>М-04</t>
        </is>
      </c>
      <c r="D114" s="21">
        <f>IF(C114="","",IFERROR(INDEX(Справочники!$B$6:$B$45,MATCH(C114,Справочники!$A$6:$A$45,0)),"нет в справочнике"))</f>
        <v/>
      </c>
      <c r="E114" s="20" t="inlineStr">
        <is>
          <t>ООО «Колор-Покрытия»</t>
        </is>
      </c>
      <c r="F114" s="20" t="inlineStr">
        <is>
          <t>С-8124 от 28.07</t>
        </is>
      </c>
      <c r="G114" s="20" t="inlineStr">
        <is>
          <t>П696</t>
        </is>
      </c>
      <c r="H114" s="20" t="n">
        <v>1000</v>
      </c>
      <c r="I114" s="18">
        <f>IF(C114="","",IFERROR(INDEX(Справочники!$C$6:$C$45,MATCH(C114,Справочники!$A$6:$A$45,0)),""))</f>
        <v/>
      </c>
      <c r="J114" s="22">
        <f>IF(C114="","",IFERROR(INDEX(Справочники!$E$6:$E$45,MATCH(C114,Справочники!$A$6:$A$45,0)),""))</f>
        <v/>
      </c>
      <c r="K114" s="23" t="inlineStr">
        <is>
          <t>Соответствует</t>
        </is>
      </c>
      <c r="L114" s="20" t="inlineStr">
        <is>
          <t>Принято</t>
        </is>
      </c>
      <c r="M114" s="19" t="n">
        <v>46231</v>
      </c>
      <c r="N114" s="20" t="inlineStr">
        <is>
          <t>Смирнов К.</t>
        </is>
      </c>
      <c r="O114" s="23" t="inlineStr"/>
      <c r="P114" s="18">
        <f>IF(B114="","",IF(M114="",IF(L114="Карантин",INT(TODAY())-B114,""),M114-B114))</f>
        <v/>
      </c>
      <c r="Q114" s="18">
        <f>IF(C114="","",IFERROR(INDEX(Справочники!$D$6:$D$45,MATCH(C114,Справочники!$A$6:$A$45,0)),""))</f>
        <v/>
      </c>
    </row>
    <row r="115">
      <c r="A115" s="18">
        <f>IF(B115="","",ROW()-5)</f>
        <v/>
      </c>
      <c r="B115" s="19" t="n">
        <v>46231</v>
      </c>
      <c r="C115" s="20" t="inlineStr">
        <is>
          <t>М-04</t>
        </is>
      </c>
      <c r="D115" s="21">
        <f>IF(C115="","",IFERROR(INDEX(Справочники!$B$6:$B$45,MATCH(C115,Справочники!$A$6:$A$45,0)),"нет в справочнике"))</f>
        <v/>
      </c>
      <c r="E115" s="20" t="inlineStr">
        <is>
          <t>ООО «Колор-Покрытия»</t>
        </is>
      </c>
      <c r="F115" s="20" t="inlineStr">
        <is>
          <t>С-3415 от 28.07</t>
        </is>
      </c>
      <c r="G115" s="20" t="inlineStr">
        <is>
          <t>П535</t>
        </is>
      </c>
      <c r="H115" s="20" t="n">
        <v>500</v>
      </c>
      <c r="I115" s="18">
        <f>IF(C115="","",IFERROR(INDEX(Справочники!$C$6:$C$45,MATCH(C115,Справочники!$A$6:$A$45,0)),""))</f>
        <v/>
      </c>
      <c r="J115" s="22">
        <f>IF(C115="","",IFERROR(INDEX(Справочники!$E$6:$E$45,MATCH(C115,Справочники!$A$6:$A$45,0)),""))</f>
        <v/>
      </c>
      <c r="K115" s="23" t="inlineStr">
        <is>
          <t>Соответствует</t>
        </is>
      </c>
      <c r="L115" s="20" t="inlineStr">
        <is>
          <t>Принято</t>
        </is>
      </c>
      <c r="M115" s="19" t="n">
        <v>46233</v>
      </c>
      <c r="N115" s="20" t="inlineStr">
        <is>
          <t>Иванова Е.</t>
        </is>
      </c>
      <c r="O115" s="23" t="inlineStr"/>
      <c r="P115" s="18">
        <f>IF(B115="","",IF(M115="",IF(L115="Карантин",INT(TODAY())-B115,""),M115-B115))</f>
        <v/>
      </c>
      <c r="Q115" s="18">
        <f>IF(C115="","",IFERROR(INDEX(Справочники!$D$6:$D$45,MATCH(C115,Справочники!$A$6:$A$45,0)),""))</f>
        <v/>
      </c>
    </row>
    <row r="116">
      <c r="A116" s="18">
        <f>IF(B116="","",ROW()-5)</f>
        <v/>
      </c>
      <c r="B116" s="19" t="n">
        <v>46234</v>
      </c>
      <c r="C116" s="20" t="inlineStr">
        <is>
          <t>М-02</t>
        </is>
      </c>
      <c r="D116" s="21">
        <f>IF(C116="","",IFERROR(INDEX(Справочники!$B$6:$B$45,MATCH(C116,Справочники!$A$6:$A$45,0)),"нет в справочнике"))</f>
        <v/>
      </c>
      <c r="E116" s="20" t="inlineStr">
        <is>
          <t>ООО «Металл-Сервис»</t>
        </is>
      </c>
      <c r="F116" s="20" t="inlineStr">
        <is>
          <t>С-1406 от 31.07</t>
        </is>
      </c>
      <c r="G116" s="20" t="inlineStr">
        <is>
          <t>П887</t>
        </is>
      </c>
      <c r="H116" s="20" t="n">
        <v>18.2</v>
      </c>
      <c r="I116" s="18">
        <f>IF(C116="","",IFERROR(INDEX(Справочники!$C$6:$C$45,MATCH(C116,Справочники!$A$6:$A$45,0)),""))</f>
        <v/>
      </c>
      <c r="J116" s="22">
        <f>IF(C116="","",IFERROR(INDEX(Справочники!$E$6:$E$45,MATCH(C116,Справочники!$A$6:$A$45,0)),""))</f>
        <v/>
      </c>
      <c r="K116" s="23" t="inlineStr">
        <is>
          <t>Соответствует</t>
        </is>
      </c>
      <c r="L116" s="20" t="inlineStr">
        <is>
          <t>Принято</t>
        </is>
      </c>
      <c r="M116" s="19" t="n">
        <v>46235</v>
      </c>
      <c r="N116" s="20" t="inlineStr">
        <is>
          <t>Орлова Т.</t>
        </is>
      </c>
      <c r="O116" s="23" t="inlineStr"/>
      <c r="P116" s="18">
        <f>IF(B116="","",IF(M116="",IF(L116="Карантин",INT(TODAY())-B116,""),M116-B116))</f>
        <v/>
      </c>
      <c r="Q116" s="18">
        <f>IF(C116="","",IFERROR(INDEX(Справочники!$D$6:$D$45,MATCH(C116,Справочники!$A$6:$A$45,0)),""))</f>
        <v/>
      </c>
    </row>
    <row r="117">
      <c r="A117" s="18">
        <f>IF(B117="","",ROW()-5)</f>
        <v/>
      </c>
      <c r="B117" s="19" t="n">
        <v>46237</v>
      </c>
      <c r="C117" s="20" t="inlineStr">
        <is>
          <t>М-10</t>
        </is>
      </c>
      <c r="D117" s="21">
        <f>IF(C117="","",IFERROR(INDEX(Справочники!$B$6:$B$45,MATCH(C117,Справочники!$A$6:$A$45,0)),"нет в справочнике"))</f>
        <v/>
      </c>
      <c r="E117" s="20" t="inlineStr">
        <is>
          <t>ООО «Подшипник-Центр»</t>
        </is>
      </c>
      <c r="F117" s="20" t="inlineStr">
        <is>
          <t>С-9750 от 03.08</t>
        </is>
      </c>
      <c r="G117" s="20" t="inlineStr">
        <is>
          <t>П478</t>
        </is>
      </c>
      <c r="H117" s="20" t="n">
        <v>500</v>
      </c>
      <c r="I117" s="18">
        <f>IF(C117="","",IFERROR(INDEX(Справочники!$C$6:$C$45,MATCH(C117,Справочники!$A$6:$A$45,0)),""))</f>
        <v/>
      </c>
      <c r="J117" s="22">
        <f>IF(C117="","",IFERROR(INDEX(Справочники!$E$6:$E$45,MATCH(C117,Справочники!$A$6:$A$45,0)),""))</f>
        <v/>
      </c>
      <c r="K117" s="23" t="inlineStr">
        <is>
          <t>Отклонение в пределах допуска заказчика, согласовано</t>
        </is>
      </c>
      <c r="L117" s="20" t="inlineStr">
        <is>
          <t>Принято с отступлением</t>
        </is>
      </c>
      <c r="M117" s="19" t="n">
        <v>46243</v>
      </c>
      <c r="N117" s="20" t="inlineStr">
        <is>
          <t>Иванова Е.</t>
        </is>
      </c>
      <c r="O117" s="23" t="inlineStr"/>
      <c r="P117" s="18">
        <f>IF(B117="","",IF(M117="",IF(L117="Карантин",INT(TODAY())-B117,""),M117-B117))</f>
        <v/>
      </c>
      <c r="Q117" s="18">
        <f>IF(C117="","",IFERROR(INDEX(Справочники!$D$6:$D$45,MATCH(C117,Справочники!$A$6:$A$45,0)),""))</f>
        <v/>
      </c>
    </row>
    <row r="118">
      <c r="A118" s="18">
        <f>IF(B118="","",ROW()-5)</f>
        <v/>
      </c>
      <c r="B118" s="19" t="n">
        <v>46237</v>
      </c>
      <c r="C118" s="20" t="inlineStr">
        <is>
          <t>М-03</t>
        </is>
      </c>
      <c r="D118" s="21">
        <f>IF(C118="","",IFERROR(INDEX(Справочники!$B$6:$B$45,MATCH(C118,Справочники!$A$6:$A$45,0)),"нет в справочнике"))</f>
        <v/>
      </c>
      <c r="E118" s="20" t="inlineStr">
        <is>
          <t>ООО «СварТехСнаб»</t>
        </is>
      </c>
      <c r="F118" s="20" t="inlineStr">
        <is>
          <t>С-7413 от 03.08</t>
        </is>
      </c>
      <c r="G118" s="20" t="inlineStr">
        <is>
          <t>П270</t>
        </is>
      </c>
      <c r="H118" s="20" t="n">
        <v>500</v>
      </c>
      <c r="I118" s="18">
        <f>IF(C118="","",IFERROR(INDEX(Справочники!$C$6:$C$45,MATCH(C118,Справочники!$A$6:$A$45,0)),""))</f>
        <v/>
      </c>
      <c r="J118" s="22">
        <f>IF(C118="","",IFERROR(INDEX(Справочники!$E$6:$E$45,MATCH(C118,Справочники!$A$6:$A$45,0)),""))</f>
        <v/>
      </c>
      <c r="K118" s="23" t="inlineStr">
        <is>
          <t>Соответствует</t>
        </is>
      </c>
      <c r="L118" s="20" t="inlineStr">
        <is>
          <t>Принято</t>
        </is>
      </c>
      <c r="M118" s="19" t="n">
        <v>46237</v>
      </c>
      <c r="N118" s="20" t="inlineStr">
        <is>
          <t>Иванова Е.</t>
        </is>
      </c>
      <c r="O118" s="23" t="inlineStr"/>
      <c r="P118" s="18">
        <f>IF(B118="","",IF(M118="",IF(L118="Карантин",INT(TODAY())-B118,""),M118-B118))</f>
        <v/>
      </c>
      <c r="Q118" s="18">
        <f>IF(C118="","",IFERROR(INDEX(Справочники!$D$6:$D$45,MATCH(C118,Справочники!$A$6:$A$45,0)),""))</f>
        <v/>
      </c>
    </row>
    <row r="119">
      <c r="A119" s="18">
        <f>IF(B119="","",ROW()-5)</f>
        <v/>
      </c>
      <c r="B119" s="19" t="n">
        <v>46239</v>
      </c>
      <c r="C119" s="20" t="inlineStr">
        <is>
          <t>М-04</t>
        </is>
      </c>
      <c r="D119" s="21">
        <f>IF(C119="","",IFERROR(INDEX(Справочники!$B$6:$B$45,MATCH(C119,Справочники!$A$6:$A$45,0)),"нет в справочнике"))</f>
        <v/>
      </c>
      <c r="E119" s="20" t="inlineStr">
        <is>
          <t>ООО «Колор-Покрытия»</t>
        </is>
      </c>
      <c r="F119" s="20" t="inlineStr">
        <is>
          <t>С-5369 от 05.08</t>
        </is>
      </c>
      <c r="G119" s="20" t="inlineStr">
        <is>
          <t>П881</t>
        </is>
      </c>
      <c r="H119" s="20" t="n">
        <v>200</v>
      </c>
      <c r="I119" s="18">
        <f>IF(C119="","",IFERROR(INDEX(Справочники!$C$6:$C$45,MATCH(C119,Справочники!$A$6:$A$45,0)),""))</f>
        <v/>
      </c>
      <c r="J119" s="22">
        <f>IF(C119="","",IFERROR(INDEX(Справочники!$E$6:$E$45,MATCH(C119,Справочники!$A$6:$A$45,0)),""))</f>
        <v/>
      </c>
      <c r="K119" s="23" t="inlineStr">
        <is>
          <t>Соответствует</t>
        </is>
      </c>
      <c r="L119" s="20" t="inlineStr">
        <is>
          <t>Принято</t>
        </is>
      </c>
      <c r="M119" s="19" t="n">
        <v>46240</v>
      </c>
      <c r="N119" s="20" t="inlineStr">
        <is>
          <t>Иванова Е.</t>
        </is>
      </c>
      <c r="O119" s="23" t="inlineStr"/>
      <c r="P119" s="18">
        <f>IF(B119="","",IF(M119="",IF(L119="Карантин",INT(TODAY())-B119,""),M119-B119))</f>
        <v/>
      </c>
      <c r="Q119" s="18">
        <f>IF(C119="","",IFERROR(INDEX(Справочники!$D$6:$D$45,MATCH(C119,Справочники!$A$6:$A$45,0)),""))</f>
        <v/>
      </c>
    </row>
    <row r="120">
      <c r="A120" s="18">
        <f>IF(B120="","",ROW()-5)</f>
        <v/>
      </c>
      <c r="B120" s="19" t="n">
        <v>46240</v>
      </c>
      <c r="C120" s="20" t="inlineStr">
        <is>
          <t>М-07</t>
        </is>
      </c>
      <c r="D120" s="21">
        <f>IF(C120="","",IFERROR(INDEX(Справочники!$B$6:$B$45,MATCH(C120,Справочники!$A$6:$A$45,0)),"нет в справочнике"))</f>
        <v/>
      </c>
      <c r="E120" s="20" t="inlineStr">
        <is>
          <t>ООО «Подшипник-Центр»</t>
        </is>
      </c>
      <c r="F120" s="20" t="inlineStr">
        <is>
          <t>С-6990 от 06.08</t>
        </is>
      </c>
      <c r="G120" s="20" t="inlineStr">
        <is>
          <t>П748</t>
        </is>
      </c>
      <c r="H120" s="20" t="n">
        <v>50</v>
      </c>
      <c r="I120" s="18">
        <f>IF(C120="","",IFERROR(INDEX(Справочники!$C$6:$C$45,MATCH(C120,Справочники!$A$6:$A$45,0)),""))</f>
        <v/>
      </c>
      <c r="J120" s="22">
        <f>IF(C120="","",IFERROR(INDEX(Справочники!$E$6:$E$45,MATCH(C120,Справочники!$A$6:$A$45,0)),""))</f>
        <v/>
      </c>
      <c r="K120" s="23" t="inlineStr">
        <is>
          <t>Соответствует</t>
        </is>
      </c>
      <c r="L120" s="20" t="inlineStr">
        <is>
          <t>Принято</t>
        </is>
      </c>
      <c r="M120" s="19" t="n">
        <v>46240</v>
      </c>
      <c r="N120" s="20" t="inlineStr">
        <is>
          <t>Иванова Е.</t>
        </is>
      </c>
      <c r="O120" s="23" t="inlineStr"/>
      <c r="P120" s="18">
        <f>IF(B120="","",IF(M120="",IF(L120="Карантин",INT(TODAY())-B120,""),M120-B120))</f>
        <v/>
      </c>
      <c r="Q120" s="18">
        <f>IF(C120="","",IFERROR(INDEX(Справочники!$D$6:$D$45,MATCH(C120,Справочники!$A$6:$A$45,0)),""))</f>
        <v/>
      </c>
    </row>
    <row r="121">
      <c r="A121" s="18">
        <f>IF(B121="","",ROW()-5)</f>
        <v/>
      </c>
      <c r="B121" s="19" t="n">
        <v>46240</v>
      </c>
      <c r="C121" s="20" t="inlineStr">
        <is>
          <t>М-10</t>
        </is>
      </c>
      <c r="D121" s="21">
        <f>IF(C121="","",IFERROR(INDEX(Справочники!$B$6:$B$45,MATCH(C121,Справочники!$A$6:$A$45,0)),"нет в справочнике"))</f>
        <v/>
      </c>
      <c r="E121" s="20" t="inlineStr">
        <is>
          <t>ООО «Подшипник-Центр»</t>
        </is>
      </c>
      <c r="F121" s="20" t="inlineStr">
        <is>
          <t>С-7968 от 06.08</t>
        </is>
      </c>
      <c r="G121" s="20" t="inlineStr">
        <is>
          <t>П207</t>
        </is>
      </c>
      <c r="H121" s="20" t="n">
        <v>50</v>
      </c>
      <c r="I121" s="18">
        <f>IF(C121="","",IFERROR(INDEX(Справочники!$C$6:$C$45,MATCH(C121,Справочники!$A$6:$A$45,0)),""))</f>
        <v/>
      </c>
      <c r="J121" s="22">
        <f>IF(C121="","",IFERROR(INDEX(Справочники!$E$6:$E$45,MATCH(C121,Справочники!$A$6:$A$45,0)),""))</f>
        <v/>
      </c>
      <c r="K121" s="23" t="inlineStr">
        <is>
          <t>Соответствует</t>
        </is>
      </c>
      <c r="L121" s="20" t="inlineStr">
        <is>
          <t>Принято</t>
        </is>
      </c>
      <c r="M121" s="19" t="n">
        <v>46240</v>
      </c>
      <c r="N121" s="20" t="inlineStr">
        <is>
          <t>Орлова Т.</t>
        </is>
      </c>
      <c r="O121" s="23" t="inlineStr"/>
      <c r="P121" s="18">
        <f>IF(B121="","",IF(M121="",IF(L121="Карантин",INT(TODAY())-B121,""),M121-B121))</f>
        <v/>
      </c>
      <c r="Q121" s="18">
        <f>IF(C121="","",IFERROR(INDEX(Справочники!$D$6:$D$45,MATCH(C121,Справочники!$A$6:$A$45,0)),""))</f>
        <v/>
      </c>
    </row>
    <row r="122">
      <c r="A122" s="18">
        <f>IF(B122="","",ROW()-5)</f>
        <v/>
      </c>
      <c r="B122" s="19" t="n">
        <v>46241</v>
      </c>
      <c r="C122" s="20" t="inlineStr">
        <is>
          <t>М-06</t>
        </is>
      </c>
      <c r="D122" s="21">
        <f>IF(C122="","",IFERROR(INDEX(Справочники!$B$6:$B$45,MATCH(C122,Справочники!$A$6:$A$45,0)),"нет в справочнике"))</f>
        <v/>
      </c>
      <c r="E122" s="20" t="inlineStr">
        <is>
          <t>ООО «ЭлектроМаш»</t>
        </is>
      </c>
      <c r="F122" s="20" t="inlineStr">
        <is>
          <t>С-8393 от 07.08</t>
        </is>
      </c>
      <c r="G122" s="20" t="inlineStr">
        <is>
          <t>П437</t>
        </is>
      </c>
      <c r="H122" s="20" t="n">
        <v>500</v>
      </c>
      <c r="I122" s="18">
        <f>IF(C122="","",IFERROR(INDEX(Справочники!$C$6:$C$45,MATCH(C122,Справочники!$A$6:$A$45,0)),""))</f>
        <v/>
      </c>
      <c r="J122" s="22">
        <f>IF(C122="","",IFERROR(INDEX(Справочники!$E$6:$E$45,MATCH(C122,Справочники!$A$6:$A$45,0)),""))</f>
        <v/>
      </c>
      <c r="K122" s="23" t="inlineStr">
        <is>
          <t>Соответствует</t>
        </is>
      </c>
      <c r="L122" s="20" t="inlineStr">
        <is>
          <t>Принято</t>
        </is>
      </c>
      <c r="M122" s="19" t="n">
        <v>46242</v>
      </c>
      <c r="N122" s="20" t="inlineStr">
        <is>
          <t>Орлова Т.</t>
        </is>
      </c>
      <c r="O122" s="23" t="inlineStr"/>
      <c r="P122" s="18">
        <f>IF(B122="","",IF(M122="",IF(L122="Карантин",INT(TODAY())-B122,""),M122-B122))</f>
        <v/>
      </c>
      <c r="Q122" s="18">
        <f>IF(C122="","",IFERROR(INDEX(Справочники!$D$6:$D$45,MATCH(C122,Справочники!$A$6:$A$45,0)),""))</f>
        <v/>
      </c>
    </row>
    <row r="123">
      <c r="A123" s="18">
        <f>IF(B123="","",ROW()-5)</f>
        <v/>
      </c>
      <c r="B123" s="19" t="n">
        <v>46241</v>
      </c>
      <c r="C123" s="20" t="inlineStr">
        <is>
          <t>М-09</t>
        </is>
      </c>
      <c r="D123" s="21">
        <f>IF(C123="","",IFERROR(INDEX(Справочники!$B$6:$B$45,MATCH(C123,Справочники!$A$6:$A$45,0)),"нет в справочнике"))</f>
        <v/>
      </c>
      <c r="E123" s="20" t="inlineStr">
        <is>
          <t>ООО «Крепёж-Опт»</t>
        </is>
      </c>
      <c r="F123" s="20" t="inlineStr">
        <is>
          <t>С-2789 от 07.08</t>
        </is>
      </c>
      <c r="G123" s="20" t="inlineStr">
        <is>
          <t>П936</t>
        </is>
      </c>
      <c r="H123" s="20" t="n">
        <v>100</v>
      </c>
      <c r="I123" s="18">
        <f>IF(C123="","",IFERROR(INDEX(Справочники!$C$6:$C$45,MATCH(C123,Справочники!$A$6:$A$45,0)),""))</f>
        <v/>
      </c>
      <c r="J123" s="22">
        <f>IF(C123="","",IFERROR(INDEX(Справочники!$E$6:$E$45,MATCH(C123,Справочники!$A$6:$A$45,0)),""))</f>
        <v/>
      </c>
      <c r="K123" s="23" t="inlineStr">
        <is>
          <t>Соответствует</t>
        </is>
      </c>
      <c r="L123" s="20" t="inlineStr">
        <is>
          <t>Принято</t>
        </is>
      </c>
      <c r="M123" s="19" t="n">
        <v>46242</v>
      </c>
      <c r="N123" s="20" t="inlineStr">
        <is>
          <t>Орлова Т.</t>
        </is>
      </c>
      <c r="O123" s="23" t="inlineStr"/>
      <c r="P123" s="18">
        <f>IF(B123="","",IF(M123="",IF(L123="Карантин",INT(TODAY())-B123,""),M123-B123))</f>
        <v/>
      </c>
      <c r="Q123" s="18">
        <f>IF(C123="","",IFERROR(INDEX(Справочники!$D$6:$D$45,MATCH(C123,Справочники!$A$6:$A$45,0)),""))</f>
        <v/>
      </c>
    </row>
    <row r="124">
      <c r="A124" s="18">
        <f>IF(B124="","",ROW()-5)</f>
        <v/>
      </c>
      <c r="B124" s="19" t="n">
        <v>46242</v>
      </c>
      <c r="C124" s="20" t="inlineStr">
        <is>
          <t>М-04</t>
        </is>
      </c>
      <c r="D124" s="21">
        <f>IF(C124="","",IFERROR(INDEX(Справочники!$B$6:$B$45,MATCH(C124,Справочники!$A$6:$A$45,0)),"нет в справочнике"))</f>
        <v/>
      </c>
      <c r="E124" s="20" t="inlineStr">
        <is>
          <t>ООО «Колор-Покрытия»</t>
        </is>
      </c>
      <c r="F124" s="20" t="inlineStr">
        <is>
          <t>С-6254 от 08.08</t>
        </is>
      </c>
      <c r="G124" s="20" t="inlineStr">
        <is>
          <t>П458</t>
        </is>
      </c>
      <c r="H124" s="20" t="n">
        <v>200</v>
      </c>
      <c r="I124" s="18">
        <f>IF(C124="","",IFERROR(INDEX(Справочники!$C$6:$C$45,MATCH(C124,Справочники!$A$6:$A$45,0)),""))</f>
        <v/>
      </c>
      <c r="J124" s="22">
        <f>IF(C124="","",IFERROR(INDEX(Справочники!$E$6:$E$45,MATCH(C124,Справочники!$A$6:$A$45,0)),""))</f>
        <v/>
      </c>
      <c r="K124" s="23" t="inlineStr">
        <is>
          <t>Соответствует</t>
        </is>
      </c>
      <c r="L124" s="20" t="inlineStr">
        <is>
          <t>Принято</t>
        </is>
      </c>
      <c r="M124" s="19" t="n">
        <v>46244</v>
      </c>
      <c r="N124" s="20" t="inlineStr">
        <is>
          <t>Иванова Е.</t>
        </is>
      </c>
      <c r="O124" s="23" t="inlineStr"/>
      <c r="P124" s="18">
        <f>IF(B124="","",IF(M124="",IF(L124="Карантин",INT(TODAY())-B124,""),M124-B124))</f>
        <v/>
      </c>
      <c r="Q124" s="18">
        <f>IF(C124="","",IFERROR(INDEX(Справочники!$D$6:$D$45,MATCH(C124,Справочники!$A$6:$A$45,0)),""))</f>
        <v/>
      </c>
    </row>
    <row r="125">
      <c r="A125" s="18">
        <f>IF(B125="","",ROW()-5)</f>
        <v/>
      </c>
      <c r="B125" s="19" t="n">
        <v>46242</v>
      </c>
      <c r="C125" s="20" t="inlineStr">
        <is>
          <t>М-05</t>
        </is>
      </c>
      <c r="D125" s="21">
        <f>IF(C125="","",IFERROR(INDEX(Справочники!$B$6:$B$45,MATCH(C125,Справочники!$A$6:$A$45,0)),"нет в справочнике"))</f>
        <v/>
      </c>
      <c r="E125" s="20" t="inlineStr">
        <is>
          <t>ООО «Крепёж-Опт»</t>
        </is>
      </c>
      <c r="F125" s="20" t="inlineStr">
        <is>
          <t>С-9407 от 08.08</t>
        </is>
      </c>
      <c r="G125" s="20" t="inlineStr">
        <is>
          <t>П580</t>
        </is>
      </c>
      <c r="H125" s="20" t="n">
        <v>50</v>
      </c>
      <c r="I125" s="18">
        <f>IF(C125="","",IFERROR(INDEX(Справочники!$C$6:$C$45,MATCH(C125,Справочники!$A$6:$A$45,0)),""))</f>
        <v/>
      </c>
      <c r="J125" s="22">
        <f>IF(C125="","",IFERROR(INDEX(Справочники!$E$6:$E$45,MATCH(C125,Справочники!$A$6:$A$45,0)),""))</f>
        <v/>
      </c>
      <c r="K125" s="23" t="inlineStr">
        <is>
          <t>Соответствует</t>
        </is>
      </c>
      <c r="L125" s="20" t="inlineStr">
        <is>
          <t>Принято</t>
        </is>
      </c>
      <c r="M125" s="19" t="n">
        <v>46242</v>
      </c>
      <c r="N125" s="20" t="inlineStr">
        <is>
          <t>Иванова Е.</t>
        </is>
      </c>
      <c r="O125" s="23" t="inlineStr"/>
      <c r="P125" s="18">
        <f>IF(B125="","",IF(M125="",IF(L125="Карантин",INT(TODAY())-B125,""),M125-B125))</f>
        <v/>
      </c>
      <c r="Q125" s="18">
        <f>IF(C125="","",IFERROR(INDEX(Справочники!$D$6:$D$45,MATCH(C125,Справочники!$A$6:$A$45,0)),""))</f>
        <v/>
      </c>
    </row>
    <row r="126">
      <c r="A126" s="18">
        <f>IF(B126="","",ROW()-5)</f>
        <v/>
      </c>
      <c r="B126" s="19" t="n">
        <v>46244</v>
      </c>
      <c r="C126" s="20" t="inlineStr">
        <is>
          <t>М-03</t>
        </is>
      </c>
      <c r="D126" s="21">
        <f>IF(C126="","",IFERROR(INDEX(Справочники!$B$6:$B$45,MATCH(C126,Справочники!$A$6:$A$45,0)),"нет в справочнике"))</f>
        <v/>
      </c>
      <c r="E126" s="20" t="inlineStr">
        <is>
          <t>ООО «СварТехСнаб»</t>
        </is>
      </c>
      <c r="F126" s="20" t="inlineStr">
        <is>
          <t>С-5957 от 10.08</t>
        </is>
      </c>
      <c r="G126" s="20" t="inlineStr">
        <is>
          <t>П174</t>
        </is>
      </c>
      <c r="H126" s="20" t="n">
        <v>1000</v>
      </c>
      <c r="I126" s="18">
        <f>IF(C126="","",IFERROR(INDEX(Справочники!$C$6:$C$45,MATCH(C126,Справочники!$A$6:$A$45,0)),""))</f>
        <v/>
      </c>
      <c r="J126" s="22">
        <f>IF(C126="","",IFERROR(INDEX(Справочники!$E$6:$E$45,MATCH(C126,Справочники!$A$6:$A$45,0)),""))</f>
        <v/>
      </c>
      <c r="K126" s="23" t="inlineStr">
        <is>
          <t>Соответствует</t>
        </is>
      </c>
      <c r="L126" s="20" t="inlineStr">
        <is>
          <t>Принято</t>
        </is>
      </c>
      <c r="M126" s="19" t="n">
        <v>46245</v>
      </c>
      <c r="N126" s="20" t="inlineStr">
        <is>
          <t>Смирнов К.</t>
        </is>
      </c>
      <c r="O126" s="23" t="inlineStr"/>
      <c r="P126" s="18">
        <f>IF(B126="","",IF(M126="",IF(L126="Карантин",INT(TODAY())-B126,""),M126-B126))</f>
        <v/>
      </c>
      <c r="Q126" s="18">
        <f>IF(C126="","",IFERROR(INDEX(Справочники!$D$6:$D$45,MATCH(C126,Справочники!$A$6:$A$45,0)),""))</f>
        <v/>
      </c>
    </row>
    <row r="127">
      <c r="A127" s="18">
        <f>IF(B127="","",ROW()-5)</f>
        <v/>
      </c>
      <c r="B127" s="19" t="n">
        <v>46246</v>
      </c>
      <c r="C127" s="20" t="inlineStr">
        <is>
          <t>М-02</t>
        </is>
      </c>
      <c r="D127" s="21">
        <f>IF(C127="","",IFERROR(INDEX(Справочники!$B$6:$B$45,MATCH(C127,Справочники!$A$6:$A$45,0)),"нет в справочнике"))</f>
        <v/>
      </c>
      <c r="E127" s="20" t="inlineStr">
        <is>
          <t>ООО «Металл-Сервис»</t>
        </is>
      </c>
      <c r="F127" s="20" t="inlineStr">
        <is>
          <t>С-8563 от 12.08</t>
        </is>
      </c>
      <c r="G127" s="20" t="inlineStr">
        <is>
          <t>П432</t>
        </is>
      </c>
      <c r="H127" s="20" t="n">
        <v>3.6</v>
      </c>
      <c r="I127" s="18">
        <f>IF(C127="","",IFERROR(INDEX(Справочники!$C$6:$C$45,MATCH(C127,Справочники!$A$6:$A$45,0)),""))</f>
        <v/>
      </c>
      <c r="J127" s="22">
        <f>IF(C127="","",IFERROR(INDEX(Справочники!$E$6:$E$45,MATCH(C127,Справочники!$A$6:$A$45,0)),""))</f>
        <v/>
      </c>
      <c r="K127" s="23" t="inlineStr">
        <is>
          <t>Соответствует</t>
        </is>
      </c>
      <c r="L127" s="20" t="inlineStr">
        <is>
          <t>Принято</t>
        </is>
      </c>
      <c r="M127" s="19" t="n">
        <v>46247</v>
      </c>
      <c r="N127" s="20" t="inlineStr">
        <is>
          <t>Иванова Е.</t>
        </is>
      </c>
      <c r="O127" s="23" t="inlineStr"/>
      <c r="P127" s="18">
        <f>IF(B127="","",IF(M127="",IF(L127="Карантин",INT(TODAY())-B127,""),M127-B127))</f>
        <v/>
      </c>
      <c r="Q127" s="18">
        <f>IF(C127="","",IFERROR(INDEX(Справочники!$D$6:$D$45,MATCH(C127,Справочники!$A$6:$A$45,0)),""))</f>
        <v/>
      </c>
    </row>
    <row r="128">
      <c r="A128" s="18">
        <f>IF(B128="","",ROW()-5)</f>
        <v/>
      </c>
      <c r="B128" s="19" t="n">
        <v>46246</v>
      </c>
      <c r="C128" s="20" t="inlineStr">
        <is>
          <t>М-08</t>
        </is>
      </c>
      <c r="D128" s="21">
        <f>IF(C128="","",IFERROR(INDEX(Справочники!$B$6:$B$45,MATCH(C128,Справочники!$A$6:$A$45,0)),"нет в справочнике"))</f>
        <v/>
      </c>
      <c r="E128" s="20" t="inlineStr">
        <is>
          <t>ООО «КабельТорг»</t>
        </is>
      </c>
      <c r="F128" s="20" t="inlineStr">
        <is>
          <t>С-5330 от 12.08</t>
        </is>
      </c>
      <c r="G128" s="20" t="inlineStr">
        <is>
          <t>П570</t>
        </is>
      </c>
      <c r="H128" s="20" t="n">
        <v>1000</v>
      </c>
      <c r="I128" s="18">
        <f>IF(C128="","",IFERROR(INDEX(Справочники!$C$6:$C$45,MATCH(C128,Справочники!$A$6:$A$45,0)),""))</f>
        <v/>
      </c>
      <c r="J128" s="22">
        <f>IF(C128="","",IFERROR(INDEX(Справочники!$E$6:$E$45,MATCH(C128,Справочники!$A$6:$A$45,0)),""))</f>
        <v/>
      </c>
      <c r="K128" s="23" t="inlineStr">
        <is>
          <t>Сопротивление изоляции ниже нормы</t>
        </is>
      </c>
      <c r="L128" s="20" t="inlineStr">
        <is>
          <t>Забраковано</t>
        </is>
      </c>
      <c r="M128" s="19" t="n">
        <v>46252</v>
      </c>
      <c r="N128" s="20" t="inlineStr">
        <is>
          <t>Орлова Т.</t>
        </is>
      </c>
      <c r="O128" s="23" t="inlineStr">
        <is>
          <t>Акт № 123</t>
        </is>
      </c>
      <c r="P128" s="18">
        <f>IF(B128="","",IF(M128="",IF(L128="Карантин",INT(TODAY())-B128,""),M128-B128))</f>
        <v/>
      </c>
      <c r="Q128" s="18">
        <f>IF(C128="","",IFERROR(INDEX(Справочники!$D$6:$D$45,MATCH(C128,Справочники!$A$6:$A$45,0)),""))</f>
        <v/>
      </c>
    </row>
    <row r="129">
      <c r="A129" s="18">
        <f>IF(B129="","",ROW()-5)</f>
        <v/>
      </c>
      <c r="B129" s="19" t="n">
        <v>46249</v>
      </c>
      <c r="C129" s="20" t="inlineStr">
        <is>
          <t>М-09</t>
        </is>
      </c>
      <c r="D129" s="21">
        <f>IF(C129="","",IFERROR(INDEX(Справочники!$B$6:$B$45,MATCH(C129,Справочники!$A$6:$A$45,0)),"нет в справочнике"))</f>
        <v/>
      </c>
      <c r="E129" s="20" t="inlineStr">
        <is>
          <t>ООО «Крепёж-Опт»</t>
        </is>
      </c>
      <c r="F129" s="20" t="inlineStr">
        <is>
          <t>С-7984 от 15.08</t>
        </is>
      </c>
      <c r="G129" s="20" t="inlineStr">
        <is>
          <t>П226</t>
        </is>
      </c>
      <c r="H129" s="20" t="n">
        <v>100</v>
      </c>
      <c r="I129" s="18">
        <f>IF(C129="","",IFERROR(INDEX(Справочники!$C$6:$C$45,MATCH(C129,Справочники!$A$6:$A$45,0)),""))</f>
        <v/>
      </c>
      <c r="J129" s="22">
        <f>IF(C129="","",IFERROR(INDEX(Справочники!$E$6:$E$45,MATCH(C129,Справочники!$A$6:$A$45,0)),""))</f>
        <v/>
      </c>
      <c r="K129" s="23" t="inlineStr">
        <is>
          <t>Соответствует</t>
        </is>
      </c>
      <c r="L129" s="20" t="inlineStr">
        <is>
          <t>Принято</t>
        </is>
      </c>
      <c r="M129" s="19" t="n">
        <v>46251</v>
      </c>
      <c r="N129" s="20" t="inlineStr">
        <is>
          <t>Иванова Е.</t>
        </is>
      </c>
      <c r="O129" s="23" t="inlineStr"/>
      <c r="P129" s="18">
        <f>IF(B129="","",IF(M129="",IF(L129="Карантин",INT(TODAY())-B129,""),M129-B129))</f>
        <v/>
      </c>
      <c r="Q129" s="18">
        <f>IF(C129="","",IFERROR(INDEX(Справочники!$D$6:$D$45,MATCH(C129,Справочники!$A$6:$A$45,0)),""))</f>
        <v/>
      </c>
    </row>
    <row r="130">
      <c r="A130" s="18">
        <f>IF(B130="","",ROW()-5)</f>
        <v/>
      </c>
      <c r="B130" s="19" t="n">
        <v>46250</v>
      </c>
      <c r="C130" s="20" t="inlineStr">
        <is>
          <t>М-06</t>
        </is>
      </c>
      <c r="D130" s="21">
        <f>IF(C130="","",IFERROR(INDEX(Справочники!$B$6:$B$45,MATCH(C130,Справочники!$A$6:$A$45,0)),"нет в справочнике"))</f>
        <v/>
      </c>
      <c r="E130" s="20" t="inlineStr">
        <is>
          <t>ООО «ЭлектроМаш»</t>
        </is>
      </c>
      <c r="F130" s="20" t="inlineStr">
        <is>
          <t>С-8305 от 16.08</t>
        </is>
      </c>
      <c r="G130" s="20" t="inlineStr">
        <is>
          <t>П246</t>
        </is>
      </c>
      <c r="H130" s="20" t="n">
        <v>50</v>
      </c>
      <c r="I130" s="18">
        <f>IF(C130="","",IFERROR(INDEX(Справочники!$C$6:$C$45,MATCH(C130,Справочники!$A$6:$A$45,0)),""))</f>
        <v/>
      </c>
      <c r="J130" s="22">
        <f>IF(C130="","",IFERROR(INDEX(Справочники!$E$6:$E$45,MATCH(C130,Справочники!$A$6:$A$45,0)),""))</f>
        <v/>
      </c>
      <c r="K130" s="23" t="inlineStr">
        <is>
          <t>Соответствует</t>
        </is>
      </c>
      <c r="L130" s="20" t="inlineStr">
        <is>
          <t>Принято</t>
        </is>
      </c>
      <c r="M130" s="19" t="n">
        <v>46251</v>
      </c>
      <c r="N130" s="20" t="inlineStr">
        <is>
          <t>Орлова Т.</t>
        </is>
      </c>
      <c r="O130" s="23" t="inlineStr"/>
      <c r="P130" s="18">
        <f>IF(B130="","",IF(M130="",IF(L130="Карантин",INT(TODAY())-B130,""),M130-B130))</f>
        <v/>
      </c>
      <c r="Q130" s="18">
        <f>IF(C130="","",IFERROR(INDEX(Справочники!$D$6:$D$45,MATCH(C130,Справочники!$A$6:$A$45,0)),""))</f>
        <v/>
      </c>
    </row>
    <row r="131">
      <c r="A131" s="18">
        <f>IF(B131="","",ROW()-5)</f>
        <v/>
      </c>
      <c r="B131" s="19" t="n">
        <v>46250</v>
      </c>
      <c r="C131" s="20" t="inlineStr">
        <is>
          <t>М-05</t>
        </is>
      </c>
      <c r="D131" s="21">
        <f>IF(C131="","",IFERROR(INDEX(Справочники!$B$6:$B$45,MATCH(C131,Справочники!$A$6:$A$45,0)),"нет в справочнике"))</f>
        <v/>
      </c>
      <c r="E131" s="20" t="inlineStr">
        <is>
          <t>ООО «Крепёж-Опт»</t>
        </is>
      </c>
      <c r="F131" s="20" t="inlineStr">
        <is>
          <t>С-5786 от 16.08</t>
        </is>
      </c>
      <c r="G131" s="20" t="inlineStr">
        <is>
          <t>П391</t>
        </is>
      </c>
      <c r="H131" s="20" t="n">
        <v>50</v>
      </c>
      <c r="I131" s="18">
        <f>IF(C131="","",IFERROR(INDEX(Справочники!$C$6:$C$45,MATCH(C131,Справочники!$A$6:$A$45,0)),""))</f>
        <v/>
      </c>
      <c r="J131" s="22">
        <f>IF(C131="","",IFERROR(INDEX(Справочники!$E$6:$E$45,MATCH(C131,Справочники!$A$6:$A$45,0)),""))</f>
        <v/>
      </c>
      <c r="K131" s="23" t="inlineStr">
        <is>
          <t>Соответствует</t>
        </is>
      </c>
      <c r="L131" s="20" t="inlineStr">
        <is>
          <t>Принято</t>
        </is>
      </c>
      <c r="M131" s="19" t="n">
        <v>46252</v>
      </c>
      <c r="N131" s="20" t="inlineStr">
        <is>
          <t>Смирнов К.</t>
        </is>
      </c>
      <c r="O131" s="23" t="inlineStr"/>
      <c r="P131" s="18">
        <f>IF(B131="","",IF(M131="",IF(L131="Карантин",INT(TODAY())-B131,""),M131-B131))</f>
        <v/>
      </c>
      <c r="Q131" s="18">
        <f>IF(C131="","",IFERROR(INDEX(Справочники!$D$6:$D$45,MATCH(C131,Справочники!$A$6:$A$45,0)),""))</f>
        <v/>
      </c>
    </row>
    <row r="132">
      <c r="A132" s="18">
        <f>IF(B132="","",ROW()-5)</f>
        <v/>
      </c>
      <c r="B132" s="19" t="n">
        <v>46253</v>
      </c>
      <c r="C132" s="20" t="inlineStr">
        <is>
          <t>М-01</t>
        </is>
      </c>
      <c r="D132" s="21">
        <f>IF(C132="","",IFERROR(INDEX(Справочники!$B$6:$B$45,MATCH(C132,Справочники!$A$6:$A$45,0)),"нет в справочнике"))</f>
        <v/>
      </c>
      <c r="E132" s="20" t="inlineStr">
        <is>
          <t>АО «СтальПром»</t>
        </is>
      </c>
      <c r="F132" s="20" t="inlineStr">
        <is>
          <t>С-1633 от 19.08</t>
        </is>
      </c>
      <c r="G132" s="20" t="inlineStr">
        <is>
          <t>П281</t>
        </is>
      </c>
      <c r="H132" s="20" t="n">
        <v>14.5</v>
      </c>
      <c r="I132" s="18">
        <f>IF(C132="","",IFERROR(INDEX(Справочники!$C$6:$C$45,MATCH(C132,Справочники!$A$6:$A$45,0)),""))</f>
        <v/>
      </c>
      <c r="J132" s="22">
        <f>IF(C132="","",IFERROR(INDEX(Справочники!$E$6:$E$45,MATCH(C132,Справочники!$A$6:$A$45,0)),""))</f>
        <v/>
      </c>
      <c r="K132" s="23" t="inlineStr">
        <is>
          <t>Соответствует</t>
        </is>
      </c>
      <c r="L132" s="20" t="inlineStr">
        <is>
          <t>Принято</t>
        </is>
      </c>
      <c r="M132" s="19" t="n">
        <v>46253</v>
      </c>
      <c r="N132" s="20" t="inlineStr">
        <is>
          <t>Смирнов К.</t>
        </is>
      </c>
      <c r="O132" s="23" t="inlineStr"/>
      <c r="P132" s="18">
        <f>IF(B132="","",IF(M132="",IF(L132="Карантин",INT(TODAY())-B132,""),M132-B132))</f>
        <v/>
      </c>
      <c r="Q132" s="18">
        <f>IF(C132="","",IFERROR(INDEX(Справочники!$D$6:$D$45,MATCH(C132,Справочники!$A$6:$A$45,0)),""))</f>
        <v/>
      </c>
    </row>
    <row r="133">
      <c r="A133" s="18">
        <f>IF(B133="","",ROW()-5)</f>
        <v/>
      </c>
      <c r="B133" s="19" t="n">
        <v>46255</v>
      </c>
      <c r="C133" s="20" t="inlineStr">
        <is>
          <t>М-10</t>
        </is>
      </c>
      <c r="D133" s="21">
        <f>IF(C133="","",IFERROR(INDEX(Справочники!$B$6:$B$45,MATCH(C133,Справочники!$A$6:$A$45,0)),"нет в справочнике"))</f>
        <v/>
      </c>
      <c r="E133" s="20" t="inlineStr">
        <is>
          <t>ООО «Подшипник-Центр»</t>
        </is>
      </c>
      <c r="F133" s="20" t="inlineStr">
        <is>
          <t>С-8362 от 21.08</t>
        </is>
      </c>
      <c r="G133" s="20" t="inlineStr">
        <is>
          <t>П370</t>
        </is>
      </c>
      <c r="H133" s="20" t="n">
        <v>50</v>
      </c>
      <c r="I133" s="18">
        <f>IF(C133="","",IFERROR(INDEX(Справочники!$C$6:$C$45,MATCH(C133,Справочники!$A$6:$A$45,0)),""))</f>
        <v/>
      </c>
      <c r="J133" s="22">
        <f>IF(C133="","",IFERROR(INDEX(Справочники!$E$6:$E$45,MATCH(C133,Справочники!$A$6:$A$45,0)),""))</f>
        <v/>
      </c>
      <c r="K133" s="23" t="inlineStr">
        <is>
          <t>Соответствует</t>
        </is>
      </c>
      <c r="L133" s="20" t="inlineStr">
        <is>
          <t>Принято</t>
        </is>
      </c>
      <c r="M133" s="19" t="n">
        <v>46256</v>
      </c>
      <c r="N133" s="20" t="inlineStr">
        <is>
          <t>Иванова Е.</t>
        </is>
      </c>
      <c r="O133" s="23" t="inlineStr"/>
      <c r="P133" s="18">
        <f>IF(B133="","",IF(M133="",IF(L133="Карантин",INT(TODAY())-B133,""),M133-B133))</f>
        <v/>
      </c>
      <c r="Q133" s="18">
        <f>IF(C133="","",IFERROR(INDEX(Справочники!$D$6:$D$45,MATCH(C133,Справочники!$A$6:$A$45,0)),""))</f>
        <v/>
      </c>
    </row>
    <row r="134">
      <c r="A134" s="18">
        <f>IF(B134="","",ROW()-5)</f>
        <v/>
      </c>
      <c r="B134" s="19" t="n">
        <v>46256</v>
      </c>
      <c r="C134" s="20" t="inlineStr">
        <is>
          <t>М-06</t>
        </is>
      </c>
      <c r="D134" s="21">
        <f>IF(C134="","",IFERROR(INDEX(Справочники!$B$6:$B$45,MATCH(C134,Справочники!$A$6:$A$45,0)),"нет в справочнике"))</f>
        <v/>
      </c>
      <c r="E134" s="20" t="inlineStr">
        <is>
          <t>ООО «ЭлектроМаш»</t>
        </is>
      </c>
      <c r="F134" s="20" t="inlineStr">
        <is>
          <t>С-4191 от 22.08</t>
        </is>
      </c>
      <c r="G134" s="20" t="inlineStr">
        <is>
          <t>П734</t>
        </is>
      </c>
      <c r="H134" s="20" t="n">
        <v>1000</v>
      </c>
      <c r="I134" s="18">
        <f>IF(C134="","",IFERROR(INDEX(Справочники!$C$6:$C$45,MATCH(C134,Справочники!$A$6:$A$45,0)),""))</f>
        <v/>
      </c>
      <c r="J134" s="22">
        <f>IF(C134="","",IFERROR(INDEX(Справочники!$E$6:$E$45,MATCH(C134,Справочники!$A$6:$A$45,0)),""))</f>
        <v/>
      </c>
      <c r="K134" s="23" t="inlineStr">
        <is>
          <t>Соответствует</t>
        </is>
      </c>
      <c r="L134" s="20" t="inlineStr">
        <is>
          <t>Принято</t>
        </is>
      </c>
      <c r="M134" s="19" t="n">
        <v>46257</v>
      </c>
      <c r="N134" s="20" t="inlineStr">
        <is>
          <t>Иванова Е.</t>
        </is>
      </c>
      <c r="O134" s="23" t="inlineStr"/>
      <c r="P134" s="18">
        <f>IF(B134="","",IF(M134="",IF(L134="Карантин",INT(TODAY())-B134,""),M134-B134))</f>
        <v/>
      </c>
      <c r="Q134" s="18">
        <f>IF(C134="","",IFERROR(INDEX(Справочники!$D$6:$D$45,MATCH(C134,Справочники!$A$6:$A$45,0)),""))</f>
        <v/>
      </c>
    </row>
    <row r="135">
      <c r="A135" s="18">
        <f>IF(B135="","",ROW()-5)</f>
        <v/>
      </c>
      <c r="B135" s="19" t="n">
        <v>46256</v>
      </c>
      <c r="C135" s="20" t="inlineStr">
        <is>
          <t>М-07</t>
        </is>
      </c>
      <c r="D135" s="21">
        <f>IF(C135="","",IFERROR(INDEX(Справочники!$B$6:$B$45,MATCH(C135,Справочники!$A$6:$A$45,0)),"нет в справочнике"))</f>
        <v/>
      </c>
      <c r="E135" s="20" t="inlineStr">
        <is>
          <t>ООО «Подшипник-Центр»</t>
        </is>
      </c>
      <c r="F135" s="20" t="inlineStr">
        <is>
          <t>С-9250 от 22.08</t>
        </is>
      </c>
      <c r="G135" s="20" t="inlineStr">
        <is>
          <t>П126</t>
        </is>
      </c>
      <c r="H135" s="20" t="n">
        <v>1000</v>
      </c>
      <c r="I135" s="18">
        <f>IF(C135="","",IFERROR(INDEX(Справочники!$C$6:$C$45,MATCH(C135,Справочники!$A$6:$A$45,0)),""))</f>
        <v/>
      </c>
      <c r="J135" s="22">
        <f>IF(C135="","",IFERROR(INDEX(Справочники!$E$6:$E$45,MATCH(C135,Справочники!$A$6:$A$45,0)),""))</f>
        <v/>
      </c>
      <c r="K135" s="23" t="inlineStr">
        <is>
          <t>Соответствует</t>
        </is>
      </c>
      <c r="L135" s="20" t="inlineStr">
        <is>
          <t>Принято</t>
        </is>
      </c>
      <c r="M135" s="19" t="n">
        <v>46257</v>
      </c>
      <c r="N135" s="20" t="inlineStr">
        <is>
          <t>Иванова Е.</t>
        </is>
      </c>
      <c r="O135" s="23" t="inlineStr"/>
      <c r="P135" s="18">
        <f>IF(B135="","",IF(M135="",IF(L135="Карантин",INT(TODAY())-B135,""),M135-B135))</f>
        <v/>
      </c>
      <c r="Q135" s="18">
        <f>IF(C135="","",IFERROR(INDEX(Справочники!$D$6:$D$45,MATCH(C135,Справочники!$A$6:$A$45,0)),""))</f>
        <v/>
      </c>
    </row>
    <row r="136">
      <c r="A136" s="18">
        <f>IF(B136="","",ROW()-5)</f>
        <v/>
      </c>
      <c r="B136" s="19" t="n">
        <v>46259</v>
      </c>
      <c r="C136" s="20" t="inlineStr">
        <is>
          <t>М-02</t>
        </is>
      </c>
      <c r="D136" s="21">
        <f>IF(C136="","",IFERROR(INDEX(Справочники!$B$6:$B$45,MATCH(C136,Справочники!$A$6:$A$45,0)),"нет в справочнике"))</f>
        <v/>
      </c>
      <c r="E136" s="20" t="inlineStr">
        <is>
          <t>АО «СтальПром»</t>
        </is>
      </c>
      <c r="F136" s="20" t="inlineStr">
        <is>
          <t>С-1541 от 25.08</t>
        </is>
      </c>
      <c r="G136" s="20" t="inlineStr">
        <is>
          <t>П379</t>
        </is>
      </c>
      <c r="H136" s="20" t="n">
        <v>4.9</v>
      </c>
      <c r="I136" s="18">
        <f>IF(C136="","",IFERROR(INDEX(Справочники!$C$6:$C$45,MATCH(C136,Справочники!$A$6:$A$45,0)),""))</f>
        <v/>
      </c>
      <c r="J136" s="22">
        <f>IF(C136="","",IFERROR(INDEX(Справочники!$E$6:$E$45,MATCH(C136,Справочники!$A$6:$A$45,0)),""))</f>
        <v/>
      </c>
      <c r="K136" s="23" t="inlineStr">
        <is>
          <t>Соответствует</t>
        </is>
      </c>
      <c r="L136" s="20" t="inlineStr">
        <is>
          <t>Принято</t>
        </is>
      </c>
      <c r="M136" s="19" t="n">
        <v>46260</v>
      </c>
      <c r="N136" s="20" t="inlineStr">
        <is>
          <t>Смирнов К.</t>
        </is>
      </c>
      <c r="O136" s="23" t="inlineStr"/>
      <c r="P136" s="18">
        <f>IF(B136="","",IF(M136="",IF(L136="Карантин",INT(TODAY())-B136,""),M136-B136))</f>
        <v/>
      </c>
      <c r="Q136" s="18">
        <f>IF(C136="","",IFERROR(INDEX(Справочники!$D$6:$D$45,MATCH(C136,Справочники!$A$6:$A$45,0)),""))</f>
        <v/>
      </c>
    </row>
    <row r="137">
      <c r="A137" s="18">
        <f>IF(B137="","",ROW()-5)</f>
        <v/>
      </c>
      <c r="B137" s="19" t="n">
        <v>46262</v>
      </c>
      <c r="C137" s="20" t="inlineStr">
        <is>
          <t>М-01</t>
        </is>
      </c>
      <c r="D137" s="21">
        <f>IF(C137="","",IFERROR(INDEX(Справочники!$B$6:$B$45,MATCH(C137,Справочники!$A$6:$A$45,0)),"нет в справочнике"))</f>
        <v/>
      </c>
      <c r="E137" s="20" t="inlineStr">
        <is>
          <t>ООО «Металл-Сервис»</t>
        </is>
      </c>
      <c r="F137" s="20" t="inlineStr">
        <is>
          <t>С-1532 от 28.08</t>
        </is>
      </c>
      <c r="G137" s="20" t="inlineStr">
        <is>
          <t>П815</t>
        </is>
      </c>
      <c r="H137" s="20" t="n">
        <v>16.2</v>
      </c>
      <c r="I137" s="18">
        <f>IF(C137="","",IFERROR(INDEX(Справочники!$C$6:$C$45,MATCH(C137,Справочники!$A$6:$A$45,0)),""))</f>
        <v/>
      </c>
      <c r="J137" s="22">
        <f>IF(C137="","",IFERROR(INDEX(Справочники!$E$6:$E$45,MATCH(C137,Справочники!$A$6:$A$45,0)),""))</f>
        <v/>
      </c>
      <c r="K137" s="23" t="inlineStr">
        <is>
          <t>Соответствует</t>
        </is>
      </c>
      <c r="L137" s="20" t="inlineStr">
        <is>
          <t>Принято</t>
        </is>
      </c>
      <c r="M137" s="19" t="n">
        <v>46263</v>
      </c>
      <c r="N137" s="20" t="inlineStr">
        <is>
          <t>Иванова Е.</t>
        </is>
      </c>
      <c r="O137" s="23" t="inlineStr"/>
      <c r="P137" s="18">
        <f>IF(B137="","",IF(M137="",IF(L137="Карантин",INT(TODAY())-B137,""),M137-B137))</f>
        <v/>
      </c>
      <c r="Q137" s="18">
        <f>IF(C137="","",IFERROR(INDEX(Справочники!$D$6:$D$45,MATCH(C137,Справочники!$A$6:$A$45,0)),""))</f>
        <v/>
      </c>
    </row>
    <row r="138">
      <c r="A138" s="18">
        <f>IF(B138="","",ROW()-5)</f>
        <v/>
      </c>
      <c r="B138" s="19" t="n">
        <v>46266</v>
      </c>
      <c r="C138" s="20" t="inlineStr">
        <is>
          <t>М-02</t>
        </is>
      </c>
      <c r="D138" s="21">
        <f>IF(C138="","",IFERROR(INDEX(Справочники!$B$6:$B$45,MATCH(C138,Справочники!$A$6:$A$45,0)),"нет в справочнике"))</f>
        <v/>
      </c>
      <c r="E138" s="20" t="inlineStr">
        <is>
          <t>ООО «Металл-Сервис»</t>
        </is>
      </c>
      <c r="F138" s="20" t="inlineStr">
        <is>
          <t>С-7730 от 01.09</t>
        </is>
      </c>
      <c r="G138" s="20" t="inlineStr">
        <is>
          <t>П273</t>
        </is>
      </c>
      <c r="H138" s="20" t="n">
        <v>15.9</v>
      </c>
      <c r="I138" s="18">
        <f>IF(C138="","",IFERROR(INDEX(Справочники!$C$6:$C$45,MATCH(C138,Справочники!$A$6:$A$45,0)),""))</f>
        <v/>
      </c>
      <c r="J138" s="22">
        <f>IF(C138="","",IFERROR(INDEX(Справочники!$E$6:$E$45,MATCH(C138,Справочники!$A$6:$A$45,0)),""))</f>
        <v/>
      </c>
      <c r="K138" s="23" t="inlineStr">
        <is>
          <t>Соответствует</t>
        </is>
      </c>
      <c r="L138" s="20" t="inlineStr">
        <is>
          <t>Принято</t>
        </is>
      </c>
      <c r="M138" s="19" t="n">
        <v>46266</v>
      </c>
      <c r="N138" s="20" t="inlineStr">
        <is>
          <t>Смирнов К.</t>
        </is>
      </c>
      <c r="O138" s="23" t="inlineStr"/>
      <c r="P138" s="18">
        <f>IF(B138="","",IF(M138="",IF(L138="Карантин",INT(TODAY())-B138,""),M138-B138))</f>
        <v/>
      </c>
      <c r="Q138" s="18">
        <f>IF(C138="","",IFERROR(INDEX(Справочники!$D$6:$D$45,MATCH(C138,Справочники!$A$6:$A$45,0)),""))</f>
        <v/>
      </c>
    </row>
    <row r="139">
      <c r="A139" s="18">
        <f>IF(B139="","",ROW()-5)</f>
        <v/>
      </c>
      <c r="B139" s="19" t="n">
        <v>46270</v>
      </c>
      <c r="C139" s="20" t="inlineStr">
        <is>
          <t>М-04</t>
        </is>
      </c>
      <c r="D139" s="21">
        <f>IF(C139="","",IFERROR(INDEX(Справочники!$B$6:$B$45,MATCH(C139,Справочники!$A$6:$A$45,0)),"нет в справочнике"))</f>
        <v/>
      </c>
      <c r="E139" s="20" t="inlineStr">
        <is>
          <t>ООО «Колор-Покрытия»</t>
        </is>
      </c>
      <c r="F139" s="20" t="inlineStr">
        <is>
          <t>С-7280 от 05.09</t>
        </is>
      </c>
      <c r="G139" s="20" t="inlineStr">
        <is>
          <t>П781</t>
        </is>
      </c>
      <c r="H139" s="20" t="n">
        <v>200</v>
      </c>
      <c r="I139" s="18">
        <f>IF(C139="","",IFERROR(INDEX(Справочники!$C$6:$C$45,MATCH(C139,Справочники!$A$6:$A$45,0)),""))</f>
        <v/>
      </c>
      <c r="J139" s="22">
        <f>IF(C139="","",IFERROR(INDEX(Справочники!$E$6:$E$45,MATCH(C139,Справочники!$A$6:$A$45,0)),""))</f>
        <v/>
      </c>
      <c r="K139" s="23" t="inlineStr">
        <is>
          <t>Соответствует</t>
        </is>
      </c>
      <c r="L139" s="20" t="inlineStr">
        <is>
          <t>Принято</t>
        </is>
      </c>
      <c r="M139" s="19" t="n">
        <v>46271</v>
      </c>
      <c r="N139" s="20" t="inlineStr">
        <is>
          <t>Орлова Т.</t>
        </is>
      </c>
      <c r="O139" s="23" t="inlineStr"/>
      <c r="P139" s="18">
        <f>IF(B139="","",IF(M139="",IF(L139="Карантин",INT(TODAY())-B139,""),M139-B139))</f>
        <v/>
      </c>
      <c r="Q139" s="18">
        <f>IF(C139="","",IFERROR(INDEX(Справочники!$D$6:$D$45,MATCH(C139,Справочники!$A$6:$A$45,0)),""))</f>
        <v/>
      </c>
    </row>
    <row r="140">
      <c r="A140" s="18">
        <f>IF(B140="","",ROW()-5)</f>
        <v/>
      </c>
      <c r="B140" s="19" t="n">
        <v>46271</v>
      </c>
      <c r="C140" s="20" t="inlineStr">
        <is>
          <t>М-08</t>
        </is>
      </c>
      <c r="D140" s="21">
        <f>IF(C140="","",IFERROR(INDEX(Справочники!$B$6:$B$45,MATCH(C140,Справочники!$A$6:$A$45,0)),"нет в справочнике"))</f>
        <v/>
      </c>
      <c r="E140" s="20" t="inlineStr">
        <is>
          <t>ООО «КабельТорг»</t>
        </is>
      </c>
      <c r="F140" s="20" t="inlineStr">
        <is>
          <t>С-7031 от 06.09</t>
        </is>
      </c>
      <c r="G140" s="20" t="inlineStr">
        <is>
          <t>П346</t>
        </is>
      </c>
      <c r="H140" s="20" t="n">
        <v>500</v>
      </c>
      <c r="I140" s="18">
        <f>IF(C140="","",IFERROR(INDEX(Справочники!$C$6:$C$45,MATCH(C140,Справочники!$A$6:$A$45,0)),""))</f>
        <v/>
      </c>
      <c r="J140" s="22">
        <f>IF(C140="","",IFERROR(INDEX(Справочники!$E$6:$E$45,MATCH(C140,Справочники!$A$6:$A$45,0)),""))</f>
        <v/>
      </c>
      <c r="K140" s="23" t="inlineStr">
        <is>
          <t>Соответствует</t>
        </is>
      </c>
      <c r="L140" s="20" t="inlineStr">
        <is>
          <t>Принято</t>
        </is>
      </c>
      <c r="M140" s="19" t="n">
        <v>46271</v>
      </c>
      <c r="N140" s="20" t="inlineStr">
        <is>
          <t>Орлова Т.</t>
        </is>
      </c>
      <c r="O140" s="23" t="inlineStr"/>
      <c r="P140" s="18">
        <f>IF(B140="","",IF(M140="",IF(L140="Карантин",INT(TODAY())-B140,""),M140-B140))</f>
        <v/>
      </c>
      <c r="Q140" s="18">
        <f>IF(C140="","",IFERROR(INDEX(Справочники!$D$6:$D$45,MATCH(C140,Справочники!$A$6:$A$45,0)),""))</f>
        <v/>
      </c>
    </row>
    <row r="141">
      <c r="A141" s="18">
        <f>IF(B141="","",ROW()-5)</f>
        <v/>
      </c>
      <c r="B141" s="19" t="n">
        <v>46279</v>
      </c>
      <c r="C141" s="20" t="inlineStr">
        <is>
          <t>М-09</t>
        </is>
      </c>
      <c r="D141" s="21">
        <f>IF(C141="","",IFERROR(INDEX(Справочники!$B$6:$B$45,MATCH(C141,Справочники!$A$6:$A$45,0)),"нет в справочнике"))</f>
        <v/>
      </c>
      <c r="E141" s="20" t="inlineStr">
        <is>
          <t>ООО «Крепёж-Опт»</t>
        </is>
      </c>
      <c r="F141" s="20" t="inlineStr">
        <is>
          <t>С-1146 от 14.09</t>
        </is>
      </c>
      <c r="G141" s="20" t="inlineStr">
        <is>
          <t>П706</t>
        </is>
      </c>
      <c r="H141" s="20" t="n">
        <v>500</v>
      </c>
      <c r="I141" s="18">
        <f>IF(C141="","",IFERROR(INDEX(Справочники!$C$6:$C$45,MATCH(C141,Справочники!$A$6:$A$45,0)),""))</f>
        <v/>
      </c>
      <c r="J141" s="22">
        <f>IF(C141="","",IFERROR(INDEX(Справочники!$E$6:$E$45,MATCH(C141,Справочники!$A$6:$A$45,0)),""))</f>
        <v/>
      </c>
      <c r="K141" s="23" t="inlineStr">
        <is>
          <t>Соответствует</t>
        </is>
      </c>
      <c r="L141" s="20" t="inlineStr">
        <is>
          <t>Принято</t>
        </is>
      </c>
      <c r="M141" s="19" t="n">
        <v>46280</v>
      </c>
      <c r="N141" s="20" t="inlineStr">
        <is>
          <t>Орлова Т.</t>
        </is>
      </c>
      <c r="O141" s="23" t="inlineStr"/>
      <c r="P141" s="18">
        <f>IF(B141="","",IF(M141="",IF(L141="Карантин",INT(TODAY())-B141,""),M141-B141))</f>
        <v/>
      </c>
      <c r="Q141" s="18">
        <f>IF(C141="","",IFERROR(INDEX(Справочники!$D$6:$D$45,MATCH(C141,Справочники!$A$6:$A$45,0)),""))</f>
        <v/>
      </c>
    </row>
    <row r="142">
      <c r="A142" s="18">
        <f>IF(B142="","",ROW()-5)</f>
        <v/>
      </c>
      <c r="B142" s="19" t="n">
        <v>46280</v>
      </c>
      <c r="C142" s="20" t="inlineStr">
        <is>
          <t>М-01</t>
        </is>
      </c>
      <c r="D142" s="21">
        <f>IF(C142="","",IFERROR(INDEX(Справочники!$B$6:$B$45,MATCH(C142,Справочники!$A$6:$A$45,0)),"нет в справочнике"))</f>
        <v/>
      </c>
      <c r="E142" s="20" t="inlineStr">
        <is>
          <t>АО «СтальПром»</t>
        </is>
      </c>
      <c r="F142" s="20" t="inlineStr">
        <is>
          <t>С-4382 от 15.09</t>
        </is>
      </c>
      <c r="G142" s="20" t="inlineStr">
        <is>
          <t>П877</t>
        </is>
      </c>
      <c r="H142" s="20" t="n">
        <v>8.9</v>
      </c>
      <c r="I142" s="18">
        <f>IF(C142="","",IFERROR(INDEX(Справочники!$C$6:$C$45,MATCH(C142,Справочники!$A$6:$A$45,0)),""))</f>
        <v/>
      </c>
      <c r="J142" s="22">
        <f>IF(C142="","",IFERROR(INDEX(Справочники!$E$6:$E$45,MATCH(C142,Справочники!$A$6:$A$45,0)),""))</f>
        <v/>
      </c>
      <c r="K142" s="23" t="inlineStr">
        <is>
          <t>Нет сертификата на плавку</t>
        </is>
      </c>
      <c r="L142" s="20" t="inlineStr">
        <is>
          <t>Забраковано</t>
        </is>
      </c>
      <c r="M142" s="19" t="n">
        <v>46282</v>
      </c>
      <c r="N142" s="20" t="inlineStr">
        <is>
          <t>Иванова Е.</t>
        </is>
      </c>
      <c r="O142" s="23" t="inlineStr">
        <is>
          <t>Акт № 137</t>
        </is>
      </c>
      <c r="P142" s="18">
        <f>IF(B142="","",IF(M142="",IF(L142="Карантин",INT(TODAY())-B142,""),M142-B142))</f>
        <v/>
      </c>
      <c r="Q142" s="18">
        <f>IF(C142="","",IFERROR(INDEX(Справочники!$D$6:$D$45,MATCH(C142,Справочники!$A$6:$A$45,0)),""))</f>
        <v/>
      </c>
    </row>
    <row r="143">
      <c r="A143" s="18">
        <f>IF(B143="","",ROW()-5)</f>
        <v/>
      </c>
      <c r="B143" s="19" t="n">
        <v>46281</v>
      </c>
      <c r="C143" s="20" t="inlineStr">
        <is>
          <t>М-04</t>
        </is>
      </c>
      <c r="D143" s="21">
        <f>IF(C143="","",IFERROR(INDEX(Справочники!$B$6:$B$45,MATCH(C143,Справочники!$A$6:$A$45,0)),"нет в справочнике"))</f>
        <v/>
      </c>
      <c r="E143" s="20" t="inlineStr">
        <is>
          <t>ООО «Колор-Покрытия»</t>
        </is>
      </c>
      <c r="F143" s="20" t="inlineStr">
        <is>
          <t>С-6678 от 16.09</t>
        </is>
      </c>
      <c r="G143" s="20" t="inlineStr">
        <is>
          <t>П681</t>
        </is>
      </c>
      <c r="H143" s="20" t="n">
        <v>200</v>
      </c>
      <c r="I143" s="18">
        <f>IF(C143="","",IFERROR(INDEX(Справочники!$C$6:$C$45,MATCH(C143,Справочники!$A$6:$A$45,0)),""))</f>
        <v/>
      </c>
      <c r="J143" s="22">
        <f>IF(C143="","",IFERROR(INDEX(Справочники!$E$6:$E$45,MATCH(C143,Справочники!$A$6:$A$45,0)),""))</f>
        <v/>
      </c>
      <c r="K143" s="23" t="inlineStr">
        <is>
          <t>Соответствует</t>
        </is>
      </c>
      <c r="L143" s="20" t="inlineStr">
        <is>
          <t>Принято</t>
        </is>
      </c>
      <c r="M143" s="19" t="n">
        <v>46282</v>
      </c>
      <c r="N143" s="20" t="inlineStr">
        <is>
          <t>Смирнов К.</t>
        </is>
      </c>
      <c r="O143" s="23" t="inlineStr"/>
      <c r="P143" s="18">
        <f>IF(B143="","",IF(M143="",IF(L143="Карантин",INT(TODAY())-B143,""),M143-B143))</f>
        <v/>
      </c>
      <c r="Q143" s="18">
        <f>IF(C143="","",IFERROR(INDEX(Справочники!$D$6:$D$45,MATCH(C143,Справочники!$A$6:$A$45,0)),""))</f>
        <v/>
      </c>
    </row>
    <row r="144">
      <c r="A144" s="18">
        <f>IF(B144="","",ROW()-5)</f>
        <v/>
      </c>
      <c r="B144" s="19" t="n">
        <v>46281</v>
      </c>
      <c r="C144" s="20" t="inlineStr">
        <is>
          <t>М-09</t>
        </is>
      </c>
      <c r="D144" s="21">
        <f>IF(C144="","",IFERROR(INDEX(Справочники!$B$6:$B$45,MATCH(C144,Справочники!$A$6:$A$45,0)),"нет в справочнике"))</f>
        <v/>
      </c>
      <c r="E144" s="20" t="inlineStr">
        <is>
          <t>ООО «Крепёж-Опт»</t>
        </is>
      </c>
      <c r="F144" s="20" t="inlineStr">
        <is>
          <t>С-8707 от 16.09</t>
        </is>
      </c>
      <c r="G144" s="20" t="inlineStr">
        <is>
          <t>П972</t>
        </is>
      </c>
      <c r="H144" s="20" t="n">
        <v>500</v>
      </c>
      <c r="I144" s="18">
        <f>IF(C144="","",IFERROR(INDEX(Справочники!$C$6:$C$45,MATCH(C144,Справочники!$A$6:$A$45,0)),""))</f>
        <v/>
      </c>
      <c r="J144" s="22">
        <f>IF(C144="","",IFERROR(INDEX(Справочники!$E$6:$E$45,MATCH(C144,Справочники!$A$6:$A$45,0)),""))</f>
        <v/>
      </c>
      <c r="K144" s="23" t="inlineStr">
        <is>
          <t>Соответствует</t>
        </is>
      </c>
      <c r="L144" s="20" t="inlineStr">
        <is>
          <t>Принято</t>
        </is>
      </c>
      <c r="M144" s="19" t="n">
        <v>46283</v>
      </c>
      <c r="N144" s="20" t="inlineStr">
        <is>
          <t>Орлова Т.</t>
        </is>
      </c>
      <c r="O144" s="23" t="inlineStr"/>
      <c r="P144" s="18">
        <f>IF(B144="","",IF(M144="",IF(L144="Карантин",INT(TODAY())-B144,""),M144-B144))</f>
        <v/>
      </c>
      <c r="Q144" s="18">
        <f>IF(C144="","",IFERROR(INDEX(Справочники!$D$6:$D$45,MATCH(C144,Справочники!$A$6:$A$45,0)),""))</f>
        <v/>
      </c>
    </row>
    <row r="145">
      <c r="A145" s="18">
        <f>IF(B145="","",ROW()-5)</f>
        <v/>
      </c>
      <c r="B145" s="19" t="n">
        <v>46284</v>
      </c>
      <c r="C145" s="20" t="inlineStr">
        <is>
          <t>М-03</t>
        </is>
      </c>
      <c r="D145" s="21">
        <f>IF(C145="","",IFERROR(INDEX(Справочники!$B$6:$B$45,MATCH(C145,Справочники!$A$6:$A$45,0)),"нет в справочнике"))</f>
        <v/>
      </c>
      <c r="E145" s="20" t="inlineStr">
        <is>
          <t>ООО «СварТехСнаб»</t>
        </is>
      </c>
      <c r="F145" s="20" t="inlineStr">
        <is>
          <t>С-9169 от 19.09</t>
        </is>
      </c>
      <c r="G145" s="20" t="inlineStr">
        <is>
          <t>П285</t>
        </is>
      </c>
      <c r="H145" s="20" t="n">
        <v>1000</v>
      </c>
      <c r="I145" s="18">
        <f>IF(C145="","",IFERROR(INDEX(Справочники!$C$6:$C$45,MATCH(C145,Справочники!$A$6:$A$45,0)),""))</f>
        <v/>
      </c>
      <c r="J145" s="22">
        <f>IF(C145="","",IFERROR(INDEX(Справочники!$E$6:$E$45,MATCH(C145,Справочники!$A$6:$A$45,0)),""))</f>
        <v/>
      </c>
      <c r="K145" s="23" t="inlineStr">
        <is>
          <t>Соответствует</t>
        </is>
      </c>
      <c r="L145" s="20" t="inlineStr">
        <is>
          <t>Принято</t>
        </is>
      </c>
      <c r="M145" s="19" t="n">
        <v>46286</v>
      </c>
      <c r="N145" s="20" t="inlineStr">
        <is>
          <t>Смирнов К.</t>
        </is>
      </c>
      <c r="O145" s="23" t="inlineStr"/>
      <c r="P145" s="18">
        <f>IF(B145="","",IF(M145="",IF(L145="Карантин",INT(TODAY())-B145,""),M145-B145))</f>
        <v/>
      </c>
      <c r="Q145" s="18">
        <f>IF(C145="","",IFERROR(INDEX(Справочники!$D$6:$D$45,MATCH(C145,Справочники!$A$6:$A$45,0)),""))</f>
        <v/>
      </c>
    </row>
    <row r="146">
      <c r="A146" s="18">
        <f>IF(B146="","",ROW()-5)</f>
        <v/>
      </c>
      <c r="B146" s="19" t="n">
        <v>46288</v>
      </c>
      <c r="C146" s="20" t="inlineStr">
        <is>
          <t>М-03</t>
        </is>
      </c>
      <c r="D146" s="21">
        <f>IF(C146="","",IFERROR(INDEX(Справочники!$B$6:$B$45,MATCH(C146,Справочники!$A$6:$A$45,0)),"нет в справочнике"))</f>
        <v/>
      </c>
      <c r="E146" s="20" t="inlineStr">
        <is>
          <t>ООО «СварТехСнаб»</t>
        </is>
      </c>
      <c r="F146" s="20" t="inlineStr">
        <is>
          <t>С-4984 от 23.09</t>
        </is>
      </c>
      <c r="G146" s="20" t="inlineStr">
        <is>
          <t>П121</t>
        </is>
      </c>
      <c r="H146" s="20" t="n">
        <v>500</v>
      </c>
      <c r="I146" s="18">
        <f>IF(C146="","",IFERROR(INDEX(Справочники!$C$6:$C$45,MATCH(C146,Справочники!$A$6:$A$45,0)),""))</f>
        <v/>
      </c>
      <c r="J146" s="22">
        <f>IF(C146="","",IFERROR(INDEX(Справочники!$E$6:$E$45,MATCH(C146,Справочники!$A$6:$A$45,0)),""))</f>
        <v/>
      </c>
      <c r="K146" s="23" t="inlineStr">
        <is>
          <t>Соответствует</t>
        </is>
      </c>
      <c r="L146" s="20" t="inlineStr">
        <is>
          <t>Принято</t>
        </is>
      </c>
      <c r="M146" s="19" t="n">
        <v>46289</v>
      </c>
      <c r="N146" s="20" t="inlineStr">
        <is>
          <t>Орлова Т.</t>
        </is>
      </c>
      <c r="O146" s="23" t="inlineStr"/>
      <c r="P146" s="18">
        <f>IF(B146="","",IF(M146="",IF(L146="Карантин",INT(TODAY())-B146,""),M146-B146))</f>
        <v/>
      </c>
      <c r="Q146" s="18">
        <f>IF(C146="","",IFERROR(INDEX(Справочники!$D$6:$D$45,MATCH(C146,Справочники!$A$6:$A$45,0)),""))</f>
        <v/>
      </c>
    </row>
    <row r="147">
      <c r="A147" s="18">
        <f>IF(B147="","",ROW()-5)</f>
        <v/>
      </c>
      <c r="B147" s="19" t="n">
        <v>46289</v>
      </c>
      <c r="C147" s="20" t="inlineStr">
        <is>
          <t>М-07</t>
        </is>
      </c>
      <c r="D147" s="21">
        <f>IF(C147="","",IFERROR(INDEX(Справочники!$B$6:$B$45,MATCH(C147,Справочники!$A$6:$A$45,0)),"нет в справочнике"))</f>
        <v/>
      </c>
      <c r="E147" s="20" t="inlineStr">
        <is>
          <t>ООО «Подшипник-Центр»</t>
        </is>
      </c>
      <c r="F147" s="20" t="inlineStr">
        <is>
          <t>С-9804 от 24.09</t>
        </is>
      </c>
      <c r="G147" s="20" t="inlineStr">
        <is>
          <t>П163</t>
        </is>
      </c>
      <c r="H147" s="20" t="n">
        <v>100</v>
      </c>
      <c r="I147" s="18">
        <f>IF(C147="","",IFERROR(INDEX(Справочники!$C$6:$C$45,MATCH(C147,Справочники!$A$6:$A$45,0)),""))</f>
        <v/>
      </c>
      <c r="J147" s="22">
        <f>IF(C147="","",IFERROR(INDEX(Справочники!$E$6:$E$45,MATCH(C147,Справочники!$A$6:$A$45,0)),""))</f>
        <v/>
      </c>
      <c r="K147" s="23" t="inlineStr">
        <is>
          <t>Соответствует</t>
        </is>
      </c>
      <c r="L147" s="20" t="inlineStr">
        <is>
          <t>Принято</t>
        </is>
      </c>
      <c r="M147" s="19" t="n">
        <v>46289</v>
      </c>
      <c r="N147" s="20" t="inlineStr">
        <is>
          <t>Смирнов К.</t>
        </is>
      </c>
      <c r="O147" s="23" t="inlineStr"/>
      <c r="P147" s="18">
        <f>IF(B147="","",IF(M147="",IF(L147="Карантин",INT(TODAY())-B147,""),M147-B147))</f>
        <v/>
      </c>
      <c r="Q147" s="18">
        <f>IF(C147="","",IFERROR(INDEX(Справочники!$D$6:$D$45,MATCH(C147,Справочники!$A$6:$A$45,0)),""))</f>
        <v/>
      </c>
    </row>
    <row r="148">
      <c r="A148" s="18">
        <f>IF(B148="","",ROW()-5)</f>
        <v/>
      </c>
      <c r="B148" s="19" t="n">
        <v>46293</v>
      </c>
      <c r="C148" s="20" t="inlineStr">
        <is>
          <t>М-06</t>
        </is>
      </c>
      <c r="D148" s="21">
        <f>IF(C148="","",IFERROR(INDEX(Справочники!$B$6:$B$45,MATCH(C148,Справочники!$A$6:$A$45,0)),"нет в справочнике"))</f>
        <v/>
      </c>
      <c r="E148" s="20" t="inlineStr">
        <is>
          <t>ООО «ЭлектроМаш»</t>
        </is>
      </c>
      <c r="F148" s="20" t="inlineStr">
        <is>
          <t>С-1999 от 28.09</t>
        </is>
      </c>
      <c r="G148" s="20" t="inlineStr">
        <is>
          <t>П389</t>
        </is>
      </c>
      <c r="H148" s="20" t="n">
        <v>100</v>
      </c>
      <c r="I148" s="18">
        <f>IF(C148="","",IFERROR(INDEX(Справочники!$C$6:$C$45,MATCH(C148,Справочники!$A$6:$A$45,0)),""))</f>
        <v/>
      </c>
      <c r="J148" s="22">
        <f>IF(C148="","",IFERROR(INDEX(Справочники!$E$6:$E$45,MATCH(C148,Справочники!$A$6:$A$45,0)),""))</f>
        <v/>
      </c>
      <c r="K148" s="23" t="inlineStr">
        <is>
          <t>Соответствует</t>
        </is>
      </c>
      <c r="L148" s="20" t="inlineStr">
        <is>
          <t>Принято</t>
        </is>
      </c>
      <c r="M148" s="19" t="n">
        <v>46295</v>
      </c>
      <c r="N148" s="20" t="inlineStr">
        <is>
          <t>Иванова Е.</t>
        </is>
      </c>
      <c r="O148" s="23" t="inlineStr"/>
      <c r="P148" s="18">
        <f>IF(B148="","",IF(M148="",IF(L148="Карантин",INT(TODAY())-B148,""),M148-B148))</f>
        <v/>
      </c>
      <c r="Q148" s="18">
        <f>IF(C148="","",IFERROR(INDEX(Справочники!$D$6:$D$45,MATCH(C148,Справочники!$A$6:$A$45,0)),""))</f>
        <v/>
      </c>
    </row>
    <row r="149">
      <c r="A149" s="18">
        <f>IF(B149="","",ROW()-5)</f>
        <v/>
      </c>
      <c r="B149" s="19" t="n">
        <v>46295</v>
      </c>
      <c r="C149" s="20" t="inlineStr">
        <is>
          <t>М-08</t>
        </is>
      </c>
      <c r="D149" s="21">
        <f>IF(C149="","",IFERROR(INDEX(Справочники!$B$6:$B$45,MATCH(C149,Справочники!$A$6:$A$45,0)),"нет в справочнике"))</f>
        <v/>
      </c>
      <c r="E149" s="20" t="inlineStr">
        <is>
          <t>ООО «КабельТорг»</t>
        </is>
      </c>
      <c r="F149" s="20" t="inlineStr">
        <is>
          <t>С-4872 от 30.09</t>
        </is>
      </c>
      <c r="G149" s="20" t="inlineStr">
        <is>
          <t>П431</t>
        </is>
      </c>
      <c r="H149" s="20" t="n">
        <v>2000</v>
      </c>
      <c r="I149" s="18">
        <f>IF(C149="","",IFERROR(INDEX(Справочники!$C$6:$C$45,MATCH(C149,Справочники!$A$6:$A$45,0)),""))</f>
        <v/>
      </c>
      <c r="J149" s="22">
        <f>IF(C149="","",IFERROR(INDEX(Справочники!$E$6:$E$45,MATCH(C149,Справочники!$A$6:$A$45,0)),""))</f>
        <v/>
      </c>
      <c r="K149" s="23" t="inlineStr">
        <is>
          <t>Соответствует</t>
        </is>
      </c>
      <c r="L149" s="20" t="inlineStr">
        <is>
          <t>Принято</t>
        </is>
      </c>
      <c r="M149" s="19" t="n">
        <v>46296</v>
      </c>
      <c r="N149" s="20" t="inlineStr">
        <is>
          <t>Орлова Т.</t>
        </is>
      </c>
      <c r="O149" s="23" t="inlineStr"/>
      <c r="P149" s="18">
        <f>IF(B149="","",IF(M149="",IF(L149="Карантин",INT(TODAY())-B149,""),M149-B149))</f>
        <v/>
      </c>
      <c r="Q149" s="18">
        <f>IF(C149="","",IFERROR(INDEX(Справочники!$D$6:$D$45,MATCH(C149,Справочники!$A$6:$A$45,0)),""))</f>
        <v/>
      </c>
    </row>
    <row r="150">
      <c r="A150" s="18">
        <f>IF(B150="","",ROW()-5)</f>
        <v/>
      </c>
      <c r="B150" s="19" t="n">
        <v>46295</v>
      </c>
      <c r="C150" s="20" t="inlineStr">
        <is>
          <t>М-04</t>
        </is>
      </c>
      <c r="D150" s="21">
        <f>IF(C150="","",IFERROR(INDEX(Справочники!$B$6:$B$45,MATCH(C150,Справочники!$A$6:$A$45,0)),"нет в справочнике"))</f>
        <v/>
      </c>
      <c r="E150" s="20" t="inlineStr">
        <is>
          <t>ООО «Колор-Покрытия»</t>
        </is>
      </c>
      <c r="F150" s="20" t="inlineStr">
        <is>
          <t>С-1224 от 30.09</t>
        </is>
      </c>
      <c r="G150" s="20" t="inlineStr">
        <is>
          <t>П598</t>
        </is>
      </c>
      <c r="H150" s="20" t="n">
        <v>1000</v>
      </c>
      <c r="I150" s="18">
        <f>IF(C150="","",IFERROR(INDEX(Справочники!$C$6:$C$45,MATCH(C150,Справочники!$A$6:$A$45,0)),""))</f>
        <v/>
      </c>
      <c r="J150" s="22">
        <f>IF(C150="","",IFERROR(INDEX(Справочники!$E$6:$E$45,MATCH(C150,Справочники!$A$6:$A$45,0)),""))</f>
        <v/>
      </c>
      <c r="K150" s="23" t="inlineStr">
        <is>
          <t>Соответствует</t>
        </is>
      </c>
      <c r="L150" s="20" t="inlineStr">
        <is>
          <t>Принято</t>
        </is>
      </c>
      <c r="M150" s="19" t="n">
        <v>46296</v>
      </c>
      <c r="N150" s="20" t="inlineStr">
        <is>
          <t>Орлова Т.</t>
        </is>
      </c>
      <c r="O150" s="23" t="inlineStr"/>
      <c r="P150" s="18">
        <f>IF(B150="","",IF(M150="",IF(L150="Карантин",INT(TODAY())-B150,""),M150-B150))</f>
        <v/>
      </c>
      <c r="Q150" s="18">
        <f>IF(C150="","",IFERROR(INDEX(Справочники!$D$6:$D$45,MATCH(C150,Справочники!$A$6:$A$45,0)),""))</f>
        <v/>
      </c>
    </row>
    <row r="151">
      <c r="A151" s="18">
        <f>IF(B151="","",ROW()-5)</f>
        <v/>
      </c>
      <c r="B151" s="19" t="n">
        <v>46298</v>
      </c>
      <c r="C151" s="20" t="inlineStr">
        <is>
          <t>М-02</t>
        </is>
      </c>
      <c r="D151" s="21">
        <f>IF(C151="","",IFERROR(INDEX(Справочники!$B$6:$B$45,MATCH(C151,Справочники!$A$6:$A$45,0)),"нет в справочнике"))</f>
        <v/>
      </c>
      <c r="E151" s="20" t="inlineStr">
        <is>
          <t>ООО «Металл-Сервис»</t>
        </is>
      </c>
      <c r="F151" s="20" t="inlineStr">
        <is>
          <t>С-6466 от 03.10</t>
        </is>
      </c>
      <c r="G151" s="20" t="inlineStr">
        <is>
          <t>П907</t>
        </is>
      </c>
      <c r="H151" s="20" t="n">
        <v>17.2</v>
      </c>
      <c r="I151" s="18">
        <f>IF(C151="","",IFERROR(INDEX(Справочники!$C$6:$C$45,MATCH(C151,Справочники!$A$6:$A$45,0)),""))</f>
        <v/>
      </c>
      <c r="J151" s="22">
        <f>IF(C151="","",IFERROR(INDEX(Справочники!$E$6:$E$45,MATCH(C151,Справочники!$A$6:$A$45,0)),""))</f>
        <v/>
      </c>
      <c r="K151" s="23" t="inlineStr">
        <is>
          <t>Соответствует</t>
        </is>
      </c>
      <c r="L151" s="20" t="inlineStr">
        <is>
          <t>Принято</t>
        </is>
      </c>
      <c r="M151" s="19" t="n">
        <v>46298</v>
      </c>
      <c r="N151" s="20" t="inlineStr">
        <is>
          <t>Смирнов К.</t>
        </is>
      </c>
      <c r="O151" s="23" t="inlineStr"/>
      <c r="P151" s="18">
        <f>IF(B151="","",IF(M151="",IF(L151="Карантин",INT(TODAY())-B151,""),M151-B151))</f>
        <v/>
      </c>
      <c r="Q151" s="18">
        <f>IF(C151="","",IFERROR(INDEX(Справочники!$D$6:$D$45,MATCH(C151,Справочники!$A$6:$A$45,0)),""))</f>
        <v/>
      </c>
    </row>
    <row r="152">
      <c r="A152" s="18">
        <f>IF(B152="","",ROW()-5)</f>
        <v/>
      </c>
      <c r="B152" s="19" t="n">
        <v>46301</v>
      </c>
      <c r="C152" s="20" t="inlineStr">
        <is>
          <t>М-04</t>
        </is>
      </c>
      <c r="D152" s="21">
        <f>IF(C152="","",IFERROR(INDEX(Справочники!$B$6:$B$45,MATCH(C152,Справочники!$A$6:$A$45,0)),"нет в справочнике"))</f>
        <v/>
      </c>
      <c r="E152" s="20" t="inlineStr">
        <is>
          <t>ООО «Колор-Покрытия»</t>
        </is>
      </c>
      <c r="F152" s="20" t="inlineStr">
        <is>
          <t>С-1146 от 06.10</t>
        </is>
      </c>
      <c r="G152" s="20" t="inlineStr">
        <is>
          <t>П611</t>
        </is>
      </c>
      <c r="H152" s="20" t="n">
        <v>1000</v>
      </c>
      <c r="I152" s="18">
        <f>IF(C152="","",IFERROR(INDEX(Справочники!$C$6:$C$45,MATCH(C152,Справочники!$A$6:$A$45,0)),""))</f>
        <v/>
      </c>
      <c r="J152" s="22">
        <f>IF(C152="","",IFERROR(INDEX(Справочники!$E$6:$E$45,MATCH(C152,Справочники!$A$6:$A$45,0)),""))</f>
        <v/>
      </c>
      <c r="K152" s="23" t="inlineStr">
        <is>
          <t>Соответствует</t>
        </is>
      </c>
      <c r="L152" s="20" t="inlineStr">
        <is>
          <t>Принято</t>
        </is>
      </c>
      <c r="M152" s="19" t="n">
        <v>46302</v>
      </c>
      <c r="N152" s="20" t="inlineStr">
        <is>
          <t>Иванова Е.</t>
        </is>
      </c>
      <c r="O152" s="23" t="inlineStr"/>
      <c r="P152" s="18">
        <f>IF(B152="","",IF(M152="",IF(L152="Карантин",INT(TODAY())-B152,""),M152-B152))</f>
        <v/>
      </c>
      <c r="Q152" s="18">
        <f>IF(C152="","",IFERROR(INDEX(Справочники!$D$6:$D$45,MATCH(C152,Справочники!$A$6:$A$45,0)),""))</f>
        <v/>
      </c>
    </row>
    <row r="153">
      <c r="A153" s="18">
        <f>IF(B153="","",ROW()-5)</f>
        <v/>
      </c>
      <c r="B153" s="19" t="n">
        <v>46302</v>
      </c>
      <c r="C153" s="20" t="inlineStr">
        <is>
          <t>М-09</t>
        </is>
      </c>
      <c r="D153" s="21">
        <f>IF(C153="","",IFERROR(INDEX(Справочники!$B$6:$B$45,MATCH(C153,Справочники!$A$6:$A$45,0)),"нет в справочнике"))</f>
        <v/>
      </c>
      <c r="E153" s="20" t="inlineStr">
        <is>
          <t>ООО «Крепёж-Опт»</t>
        </is>
      </c>
      <c r="F153" s="20" t="inlineStr">
        <is>
          <t>С-9130 от 07.10</t>
        </is>
      </c>
      <c r="G153" s="20" t="inlineStr">
        <is>
          <t>П588</t>
        </is>
      </c>
      <c r="H153" s="20" t="n">
        <v>100</v>
      </c>
      <c r="I153" s="18">
        <f>IF(C153="","",IFERROR(INDEX(Справочники!$C$6:$C$45,MATCH(C153,Справочники!$A$6:$A$45,0)),""))</f>
        <v/>
      </c>
      <c r="J153" s="22">
        <f>IF(C153="","",IFERROR(INDEX(Справочники!$E$6:$E$45,MATCH(C153,Справочники!$A$6:$A$45,0)),""))</f>
        <v/>
      </c>
      <c r="K153" s="23" t="inlineStr">
        <is>
          <t>Соответствует</t>
        </is>
      </c>
      <c r="L153" s="20" t="inlineStr">
        <is>
          <t>Принято</t>
        </is>
      </c>
      <c r="M153" s="19" t="n">
        <v>46303</v>
      </c>
      <c r="N153" s="20" t="inlineStr">
        <is>
          <t>Иванова Е.</t>
        </is>
      </c>
      <c r="O153" s="23" t="inlineStr"/>
      <c r="P153" s="18">
        <f>IF(B153="","",IF(M153="",IF(L153="Карантин",INT(TODAY())-B153,""),M153-B153))</f>
        <v/>
      </c>
      <c r="Q153" s="18">
        <f>IF(C153="","",IFERROR(INDEX(Справочники!$D$6:$D$45,MATCH(C153,Справочники!$A$6:$A$45,0)),""))</f>
        <v/>
      </c>
    </row>
    <row r="154">
      <c r="A154" s="18">
        <f>IF(B154="","",ROW()-5)</f>
        <v/>
      </c>
      <c r="B154" s="19" t="n">
        <v>46304</v>
      </c>
      <c r="C154" s="20" t="inlineStr">
        <is>
          <t>М-05</t>
        </is>
      </c>
      <c r="D154" s="21">
        <f>IF(C154="","",IFERROR(INDEX(Справочники!$B$6:$B$45,MATCH(C154,Справочники!$A$6:$A$45,0)),"нет в справочнике"))</f>
        <v/>
      </c>
      <c r="E154" s="20" t="inlineStr">
        <is>
          <t>ООО «Крепёж-Опт»</t>
        </is>
      </c>
      <c r="F154" s="20" t="inlineStr">
        <is>
          <t>С-4848 от 09.10</t>
        </is>
      </c>
      <c r="G154" s="20" t="inlineStr">
        <is>
          <t>П462</t>
        </is>
      </c>
      <c r="H154" s="20" t="n">
        <v>100</v>
      </c>
      <c r="I154" s="18">
        <f>IF(C154="","",IFERROR(INDEX(Справочники!$C$6:$C$45,MATCH(C154,Справочники!$A$6:$A$45,0)),""))</f>
        <v/>
      </c>
      <c r="J154" s="22">
        <f>IF(C154="","",IFERROR(INDEX(Справочники!$E$6:$E$45,MATCH(C154,Справочники!$A$6:$A$45,0)),""))</f>
        <v/>
      </c>
      <c r="K154" s="23" t="inlineStr">
        <is>
          <t>Соответствует</t>
        </is>
      </c>
      <c r="L154" s="20" t="inlineStr">
        <is>
          <t>Принято</t>
        </is>
      </c>
      <c r="M154" s="19" t="n">
        <v>46304</v>
      </c>
      <c r="N154" s="20" t="inlineStr">
        <is>
          <t>Иванова Е.</t>
        </is>
      </c>
      <c r="O154" s="23" t="inlineStr"/>
      <c r="P154" s="18">
        <f>IF(B154="","",IF(M154="",IF(L154="Карантин",INT(TODAY())-B154,""),M154-B154))</f>
        <v/>
      </c>
      <c r="Q154" s="18">
        <f>IF(C154="","",IFERROR(INDEX(Справочники!$D$6:$D$45,MATCH(C154,Справочники!$A$6:$A$45,0)),""))</f>
        <v/>
      </c>
    </row>
    <row r="155">
      <c r="A155" s="18">
        <f>IF(B155="","",ROW()-5)</f>
        <v/>
      </c>
      <c r="B155" s="19" t="n">
        <v>46304</v>
      </c>
      <c r="C155" s="20" t="inlineStr">
        <is>
          <t>М-05</t>
        </is>
      </c>
      <c r="D155" s="21">
        <f>IF(C155="","",IFERROR(INDEX(Справочники!$B$6:$B$45,MATCH(C155,Справочники!$A$6:$A$45,0)),"нет в справочнике"))</f>
        <v/>
      </c>
      <c r="E155" s="20" t="inlineStr">
        <is>
          <t>ООО «Крепёж-Опт»</t>
        </is>
      </c>
      <c r="F155" s="20" t="inlineStr">
        <is>
          <t>С-2723 от 09.10</t>
        </is>
      </c>
      <c r="G155" s="20" t="inlineStr">
        <is>
          <t>П203</t>
        </is>
      </c>
      <c r="H155" s="20" t="n">
        <v>500</v>
      </c>
      <c r="I155" s="18">
        <f>IF(C155="","",IFERROR(INDEX(Справочники!$C$6:$C$45,MATCH(C155,Справочники!$A$6:$A$45,0)),""))</f>
        <v/>
      </c>
      <c r="J155" s="22">
        <f>IF(C155="","",IFERROR(INDEX(Справочники!$E$6:$E$45,MATCH(C155,Справочники!$A$6:$A$45,0)),""))</f>
        <v/>
      </c>
      <c r="K155" s="23" t="inlineStr">
        <is>
          <t>Соответствует</t>
        </is>
      </c>
      <c r="L155" s="20" t="inlineStr">
        <is>
          <t>Принято</t>
        </is>
      </c>
      <c r="M155" s="19" t="n">
        <v>46305</v>
      </c>
      <c r="N155" s="20" t="inlineStr">
        <is>
          <t>Смирнов К.</t>
        </is>
      </c>
      <c r="O155" s="23" t="inlineStr"/>
      <c r="P155" s="18">
        <f>IF(B155="","",IF(M155="",IF(L155="Карантин",INT(TODAY())-B155,""),M155-B155))</f>
        <v/>
      </c>
      <c r="Q155" s="18">
        <f>IF(C155="","",IFERROR(INDEX(Справочники!$D$6:$D$45,MATCH(C155,Справочники!$A$6:$A$45,0)),""))</f>
        <v/>
      </c>
    </row>
    <row r="156">
      <c r="A156" s="18">
        <f>IF(B156="","",ROW()-5)</f>
        <v/>
      </c>
      <c r="B156" s="19" t="n">
        <v>46306</v>
      </c>
      <c r="C156" s="20" t="inlineStr">
        <is>
          <t>М-09</t>
        </is>
      </c>
      <c r="D156" s="21">
        <f>IF(C156="","",IFERROR(INDEX(Справочники!$B$6:$B$45,MATCH(C156,Справочники!$A$6:$A$45,0)),"нет в справочнике"))</f>
        <v/>
      </c>
      <c r="E156" s="20" t="inlineStr">
        <is>
          <t>ООО «Крепёж-Опт»</t>
        </is>
      </c>
      <c r="F156" s="20" t="inlineStr">
        <is>
          <t>С-2873 от 11.10</t>
        </is>
      </c>
      <c r="G156" s="20" t="inlineStr">
        <is>
          <t>П365</t>
        </is>
      </c>
      <c r="H156" s="20" t="n">
        <v>1000</v>
      </c>
      <c r="I156" s="18">
        <f>IF(C156="","",IFERROR(INDEX(Справочники!$C$6:$C$45,MATCH(C156,Справочники!$A$6:$A$45,0)),""))</f>
        <v/>
      </c>
      <c r="J156" s="22">
        <f>IF(C156="","",IFERROR(INDEX(Справочники!$E$6:$E$45,MATCH(C156,Справочники!$A$6:$A$45,0)),""))</f>
        <v/>
      </c>
      <c r="K156" s="23" t="inlineStr">
        <is>
          <t>Соответствует</t>
        </is>
      </c>
      <c r="L156" s="20" t="inlineStr">
        <is>
          <t>Принято</t>
        </is>
      </c>
      <c r="M156" s="19" t="n">
        <v>46306</v>
      </c>
      <c r="N156" s="20" t="inlineStr">
        <is>
          <t>Орлова Т.</t>
        </is>
      </c>
      <c r="O156" s="23" t="inlineStr"/>
      <c r="P156" s="18">
        <f>IF(B156="","",IF(M156="",IF(L156="Карантин",INT(TODAY())-B156,""),M156-B156))</f>
        <v/>
      </c>
      <c r="Q156" s="18">
        <f>IF(C156="","",IFERROR(INDEX(Справочники!$D$6:$D$45,MATCH(C156,Справочники!$A$6:$A$45,0)),""))</f>
        <v/>
      </c>
    </row>
    <row r="157">
      <c r="A157" s="18">
        <f>IF(B157="","",ROW()-5)</f>
        <v/>
      </c>
      <c r="B157" s="19" t="n">
        <v>46309</v>
      </c>
      <c r="C157" s="20" t="inlineStr">
        <is>
          <t>М-02</t>
        </is>
      </c>
      <c r="D157" s="21">
        <f>IF(C157="","",IFERROR(INDEX(Справочники!$B$6:$B$45,MATCH(C157,Справочники!$A$6:$A$45,0)),"нет в справочнике"))</f>
        <v/>
      </c>
      <c r="E157" s="20" t="inlineStr">
        <is>
          <t>ООО «Металл-Сервис»</t>
        </is>
      </c>
      <c r="F157" s="20" t="inlineStr">
        <is>
          <t>С-5555 от 14.10</t>
        </is>
      </c>
      <c r="G157" s="20" t="inlineStr">
        <is>
          <t>П184</t>
        </is>
      </c>
      <c r="H157" s="20" t="n">
        <v>10.4</v>
      </c>
      <c r="I157" s="18">
        <f>IF(C157="","",IFERROR(INDEX(Справочники!$C$6:$C$45,MATCH(C157,Справочники!$A$6:$A$45,0)),""))</f>
        <v/>
      </c>
      <c r="J157" s="22">
        <f>IF(C157="","",IFERROR(INDEX(Справочники!$E$6:$E$45,MATCH(C157,Справочники!$A$6:$A$45,0)),""))</f>
        <v/>
      </c>
      <c r="K157" s="23" t="inlineStr">
        <is>
          <t>Отклонение в пределах допуска заказчика, согласовано</t>
        </is>
      </c>
      <c r="L157" s="20" t="inlineStr">
        <is>
          <t>Принято с отступлением</t>
        </is>
      </c>
      <c r="M157" s="19" t="n">
        <v>46315</v>
      </c>
      <c r="N157" s="20" t="inlineStr">
        <is>
          <t>Смирнов К.</t>
        </is>
      </c>
      <c r="O157" s="23" t="inlineStr"/>
      <c r="P157" s="18">
        <f>IF(B157="","",IF(M157="",IF(L157="Карантин",INT(TODAY())-B157,""),M157-B157))</f>
        <v/>
      </c>
      <c r="Q157" s="18">
        <f>IF(C157="","",IFERROR(INDEX(Справочники!$D$6:$D$45,MATCH(C157,Справочники!$A$6:$A$45,0)),""))</f>
        <v/>
      </c>
    </row>
    <row r="158">
      <c r="A158" s="18">
        <f>IF(B158="","",ROW()-5)</f>
        <v/>
      </c>
      <c r="B158" s="19" t="n">
        <v>46309</v>
      </c>
      <c r="C158" s="20" t="inlineStr">
        <is>
          <t>М-07</t>
        </is>
      </c>
      <c r="D158" s="21">
        <f>IF(C158="","",IFERROR(INDEX(Справочники!$B$6:$B$45,MATCH(C158,Справочники!$A$6:$A$45,0)),"нет в справочнике"))</f>
        <v/>
      </c>
      <c r="E158" s="20" t="inlineStr">
        <is>
          <t>ООО «Подшипник-Центр»</t>
        </is>
      </c>
      <c r="F158" s="20" t="inlineStr">
        <is>
          <t>С-5002 от 14.10</t>
        </is>
      </c>
      <c r="G158" s="20" t="inlineStr">
        <is>
          <t>П532</t>
        </is>
      </c>
      <c r="H158" s="20" t="n">
        <v>50</v>
      </c>
      <c r="I158" s="18">
        <f>IF(C158="","",IFERROR(INDEX(Справочники!$C$6:$C$45,MATCH(C158,Справочники!$A$6:$A$45,0)),""))</f>
        <v/>
      </c>
      <c r="J158" s="22">
        <f>IF(C158="","",IFERROR(INDEX(Справочники!$E$6:$E$45,MATCH(C158,Справочники!$A$6:$A$45,0)),""))</f>
        <v/>
      </c>
      <c r="K158" s="23" t="inlineStr">
        <is>
          <t>Соответствует</t>
        </is>
      </c>
      <c r="L158" s="20" t="inlineStr">
        <is>
          <t>Принято</t>
        </is>
      </c>
      <c r="M158" s="19" t="n">
        <v>46310</v>
      </c>
      <c r="N158" s="20" t="inlineStr">
        <is>
          <t>Иванова Е.</t>
        </is>
      </c>
      <c r="O158" s="23" t="inlineStr"/>
      <c r="P158" s="18">
        <f>IF(B158="","",IF(M158="",IF(L158="Карантин",INT(TODAY())-B158,""),M158-B158))</f>
        <v/>
      </c>
      <c r="Q158" s="18">
        <f>IF(C158="","",IFERROR(INDEX(Справочники!$D$6:$D$45,MATCH(C158,Справочники!$A$6:$A$45,0)),""))</f>
        <v/>
      </c>
    </row>
    <row r="159">
      <c r="A159" s="18">
        <f>IF(B159="","",ROW()-5)</f>
        <v/>
      </c>
      <c r="B159" s="19" t="n">
        <v>46310</v>
      </c>
      <c r="C159" s="20" t="inlineStr">
        <is>
          <t>М-09</t>
        </is>
      </c>
      <c r="D159" s="21">
        <f>IF(C159="","",IFERROR(INDEX(Справочники!$B$6:$B$45,MATCH(C159,Справочники!$A$6:$A$45,0)),"нет в справочнике"))</f>
        <v/>
      </c>
      <c r="E159" s="20" t="inlineStr">
        <is>
          <t>ООО «Крепёж-Опт»</t>
        </is>
      </c>
      <c r="F159" s="20" t="inlineStr">
        <is>
          <t>С-1392 от 15.10</t>
        </is>
      </c>
      <c r="G159" s="20" t="inlineStr">
        <is>
          <t>П223</t>
        </is>
      </c>
      <c r="H159" s="20" t="n">
        <v>100</v>
      </c>
      <c r="I159" s="18">
        <f>IF(C159="","",IFERROR(INDEX(Справочники!$C$6:$C$45,MATCH(C159,Справочники!$A$6:$A$45,0)),""))</f>
        <v/>
      </c>
      <c r="J159" s="22">
        <f>IF(C159="","",IFERROR(INDEX(Справочники!$E$6:$E$45,MATCH(C159,Справочники!$A$6:$A$45,0)),""))</f>
        <v/>
      </c>
      <c r="K159" s="23" t="inlineStr">
        <is>
          <t>Соответствует</t>
        </is>
      </c>
      <c r="L159" s="20" t="inlineStr">
        <is>
          <t>Принято</t>
        </is>
      </c>
      <c r="M159" s="19" t="n">
        <v>46311</v>
      </c>
      <c r="N159" s="20" t="inlineStr">
        <is>
          <t>Орлова Т.</t>
        </is>
      </c>
      <c r="O159" s="23" t="inlineStr"/>
      <c r="P159" s="18">
        <f>IF(B159="","",IF(M159="",IF(L159="Карантин",INT(TODAY())-B159,""),M159-B159))</f>
        <v/>
      </c>
      <c r="Q159" s="18">
        <f>IF(C159="","",IFERROR(INDEX(Справочники!$D$6:$D$45,MATCH(C159,Справочники!$A$6:$A$45,0)),""))</f>
        <v/>
      </c>
    </row>
    <row r="160">
      <c r="A160" s="18">
        <f>IF(B160="","",ROW()-5)</f>
        <v/>
      </c>
      <c r="B160" s="19" t="n">
        <v>46312</v>
      </c>
      <c r="C160" s="20" t="inlineStr">
        <is>
          <t>М-01</t>
        </is>
      </c>
      <c r="D160" s="21">
        <f>IF(C160="","",IFERROR(INDEX(Справочники!$B$6:$B$45,MATCH(C160,Справочники!$A$6:$A$45,0)),"нет в справочнике"))</f>
        <v/>
      </c>
      <c r="E160" s="20" t="inlineStr">
        <is>
          <t>АО «СтальПром»</t>
        </is>
      </c>
      <c r="F160" s="20" t="inlineStr">
        <is>
          <t>С-8995 от 17.10</t>
        </is>
      </c>
      <c r="G160" s="20" t="inlineStr">
        <is>
          <t>П594</t>
        </is>
      </c>
      <c r="H160" s="20" t="n">
        <v>18.2</v>
      </c>
      <c r="I160" s="18">
        <f>IF(C160="","",IFERROR(INDEX(Справочники!$C$6:$C$45,MATCH(C160,Справочники!$A$6:$A$45,0)),""))</f>
        <v/>
      </c>
      <c r="J160" s="22">
        <f>IF(C160="","",IFERROR(INDEX(Справочники!$E$6:$E$45,MATCH(C160,Справочники!$A$6:$A$45,0)),""))</f>
        <v/>
      </c>
      <c r="K160" s="23" t="inlineStr">
        <is>
          <t>Соответствует</t>
        </is>
      </c>
      <c r="L160" s="20" t="inlineStr">
        <is>
          <t>Принято</t>
        </is>
      </c>
      <c r="M160" s="19" t="n">
        <v>46312</v>
      </c>
      <c r="N160" s="20" t="inlineStr">
        <is>
          <t>Смирнов К.</t>
        </is>
      </c>
      <c r="O160" s="23" t="inlineStr"/>
      <c r="P160" s="18">
        <f>IF(B160="","",IF(M160="",IF(L160="Карантин",INT(TODAY())-B160,""),M160-B160))</f>
        <v/>
      </c>
      <c r="Q160" s="18">
        <f>IF(C160="","",IFERROR(INDEX(Справочники!$D$6:$D$45,MATCH(C160,Справочники!$A$6:$A$45,0)),""))</f>
        <v/>
      </c>
    </row>
    <row r="161">
      <c r="A161" s="18">
        <f>IF(B161="","",ROW()-5)</f>
        <v/>
      </c>
      <c r="B161" s="19" t="n">
        <v>46312</v>
      </c>
      <c r="C161" s="20" t="inlineStr">
        <is>
          <t>М-02</t>
        </is>
      </c>
      <c r="D161" s="21">
        <f>IF(C161="","",IFERROR(INDEX(Справочники!$B$6:$B$45,MATCH(C161,Справочники!$A$6:$A$45,0)),"нет в справочнике"))</f>
        <v/>
      </c>
      <c r="E161" s="20" t="inlineStr">
        <is>
          <t>АО «СтальПром»</t>
        </is>
      </c>
      <c r="F161" s="20" t="inlineStr">
        <is>
          <t>С-1876 от 17.10</t>
        </is>
      </c>
      <c r="G161" s="20" t="inlineStr">
        <is>
          <t>П780</t>
        </is>
      </c>
      <c r="H161" s="20" t="n">
        <v>7.2</v>
      </c>
      <c r="I161" s="18">
        <f>IF(C161="","",IFERROR(INDEX(Справочники!$C$6:$C$45,MATCH(C161,Справочники!$A$6:$A$45,0)),""))</f>
        <v/>
      </c>
      <c r="J161" s="22">
        <f>IF(C161="","",IFERROR(INDEX(Справочники!$E$6:$E$45,MATCH(C161,Справочники!$A$6:$A$45,0)),""))</f>
        <v/>
      </c>
      <c r="K161" s="23" t="inlineStr">
        <is>
          <t>Коррозия на поверхности</t>
        </is>
      </c>
      <c r="L161" s="20" t="inlineStr">
        <is>
          <t>Забраковано</t>
        </is>
      </c>
      <c r="M161" s="19" t="n">
        <v>46319</v>
      </c>
      <c r="N161" s="20" t="inlineStr">
        <is>
          <t>Иванова Е.</t>
        </is>
      </c>
      <c r="O161" s="23" t="inlineStr">
        <is>
          <t>Акт № 156</t>
        </is>
      </c>
      <c r="P161" s="18">
        <f>IF(B161="","",IF(M161="",IF(L161="Карантин",INT(TODAY())-B161,""),M161-B161))</f>
        <v/>
      </c>
      <c r="Q161" s="18">
        <f>IF(C161="","",IFERROR(INDEX(Справочники!$D$6:$D$45,MATCH(C161,Справочники!$A$6:$A$45,0)),""))</f>
        <v/>
      </c>
    </row>
    <row r="162">
      <c r="A162" s="18">
        <f>IF(B162="","",ROW()-5)</f>
        <v/>
      </c>
      <c r="B162" s="19" t="n">
        <v>46313</v>
      </c>
      <c r="C162" s="20" t="inlineStr">
        <is>
          <t>М-07</t>
        </is>
      </c>
      <c r="D162" s="21">
        <f>IF(C162="","",IFERROR(INDEX(Справочники!$B$6:$B$45,MATCH(C162,Справочники!$A$6:$A$45,0)),"нет в справочнике"))</f>
        <v/>
      </c>
      <c r="E162" s="20" t="inlineStr">
        <is>
          <t>ООО «Подшипник-Центр»</t>
        </is>
      </c>
      <c r="F162" s="20" t="inlineStr">
        <is>
          <t>С-8299 от 18.10</t>
        </is>
      </c>
      <c r="G162" s="20" t="inlineStr">
        <is>
          <t>П762</t>
        </is>
      </c>
      <c r="H162" s="20" t="n">
        <v>1000</v>
      </c>
      <c r="I162" s="18">
        <f>IF(C162="","",IFERROR(INDEX(Справочники!$C$6:$C$45,MATCH(C162,Справочники!$A$6:$A$45,0)),""))</f>
        <v/>
      </c>
      <c r="J162" s="22">
        <f>IF(C162="","",IFERROR(INDEX(Справочники!$E$6:$E$45,MATCH(C162,Справочники!$A$6:$A$45,0)),""))</f>
        <v/>
      </c>
      <c r="K162" s="23" t="inlineStr">
        <is>
          <t>Соответствует</t>
        </is>
      </c>
      <c r="L162" s="20" t="inlineStr">
        <is>
          <t>Принято</t>
        </is>
      </c>
      <c r="M162" s="19" t="n">
        <v>46313</v>
      </c>
      <c r="N162" s="20" t="inlineStr">
        <is>
          <t>Смирнов К.</t>
        </is>
      </c>
      <c r="O162" s="23" t="inlineStr"/>
      <c r="P162" s="18">
        <f>IF(B162="","",IF(M162="",IF(L162="Карантин",INT(TODAY())-B162,""),M162-B162))</f>
        <v/>
      </c>
      <c r="Q162" s="18">
        <f>IF(C162="","",IFERROR(INDEX(Справочники!$D$6:$D$45,MATCH(C162,Справочники!$A$6:$A$45,0)),""))</f>
        <v/>
      </c>
    </row>
    <row r="163">
      <c r="A163" s="18">
        <f>IF(B163="","",ROW()-5)</f>
        <v/>
      </c>
      <c r="B163" s="19" t="n">
        <v>46316</v>
      </c>
      <c r="C163" s="20" t="inlineStr">
        <is>
          <t>М-08</t>
        </is>
      </c>
      <c r="D163" s="21">
        <f>IF(C163="","",IFERROR(INDEX(Справочники!$B$6:$B$45,MATCH(C163,Справочники!$A$6:$A$45,0)),"нет в справочнике"))</f>
        <v/>
      </c>
      <c r="E163" s="20" t="inlineStr">
        <is>
          <t>ООО «КабельТорг»</t>
        </is>
      </c>
      <c r="F163" s="20" t="inlineStr">
        <is>
          <t>С-6289 от 21.10</t>
        </is>
      </c>
      <c r="G163" s="20" t="inlineStr">
        <is>
          <t>П784</t>
        </is>
      </c>
      <c r="H163" s="20" t="n">
        <v>500</v>
      </c>
      <c r="I163" s="18">
        <f>IF(C163="","",IFERROR(INDEX(Справочники!$C$6:$C$45,MATCH(C163,Справочники!$A$6:$A$45,0)),""))</f>
        <v/>
      </c>
      <c r="J163" s="22">
        <f>IF(C163="","",IFERROR(INDEX(Справочники!$E$6:$E$45,MATCH(C163,Справочники!$A$6:$A$45,0)),""))</f>
        <v/>
      </c>
      <c r="K163" s="23" t="inlineStr">
        <is>
          <t>Соответствует</t>
        </is>
      </c>
      <c r="L163" s="20" t="inlineStr">
        <is>
          <t>Принято</t>
        </is>
      </c>
      <c r="M163" s="19" t="n">
        <v>46317</v>
      </c>
      <c r="N163" s="20" t="inlineStr">
        <is>
          <t>Смирнов К.</t>
        </is>
      </c>
      <c r="O163" s="23" t="inlineStr"/>
      <c r="P163" s="18">
        <f>IF(B163="","",IF(M163="",IF(L163="Карантин",INT(TODAY())-B163,""),M163-B163))</f>
        <v/>
      </c>
      <c r="Q163" s="18">
        <f>IF(C163="","",IFERROR(INDEX(Справочники!$D$6:$D$45,MATCH(C163,Справочники!$A$6:$A$45,0)),""))</f>
        <v/>
      </c>
    </row>
    <row r="164">
      <c r="A164" s="18">
        <f>IF(B164="","",ROW()-5)</f>
        <v/>
      </c>
      <c r="B164" s="19" t="n">
        <v>46319</v>
      </c>
      <c r="C164" s="20" t="inlineStr">
        <is>
          <t>М-02</t>
        </is>
      </c>
      <c r="D164" s="21">
        <f>IF(C164="","",IFERROR(INDEX(Справочники!$B$6:$B$45,MATCH(C164,Справочники!$A$6:$A$45,0)),"нет в справочнике"))</f>
        <v/>
      </c>
      <c r="E164" s="20" t="inlineStr">
        <is>
          <t>АО «СтальПром»</t>
        </is>
      </c>
      <c r="F164" s="20" t="inlineStr">
        <is>
          <t>С-7086 от 24.10</t>
        </is>
      </c>
      <c r="G164" s="20" t="inlineStr">
        <is>
          <t>П453</t>
        </is>
      </c>
      <c r="H164" s="20" t="n">
        <v>18.4</v>
      </c>
      <c r="I164" s="18">
        <f>IF(C164="","",IFERROR(INDEX(Справочники!$C$6:$C$45,MATCH(C164,Справочники!$A$6:$A$45,0)),""))</f>
        <v/>
      </c>
      <c r="J164" s="22">
        <f>IF(C164="","",IFERROR(INDEX(Справочники!$E$6:$E$45,MATCH(C164,Справочники!$A$6:$A$45,0)),""))</f>
        <v/>
      </c>
      <c r="K164" s="23" t="inlineStr">
        <is>
          <t>Соответствует</t>
        </is>
      </c>
      <c r="L164" s="20" t="inlineStr">
        <is>
          <t>Принято</t>
        </is>
      </c>
      <c r="M164" s="19" t="n">
        <v>46320</v>
      </c>
      <c r="N164" s="20" t="inlineStr">
        <is>
          <t>Иванова Е.</t>
        </is>
      </c>
      <c r="O164" s="23" t="inlineStr"/>
      <c r="P164" s="18">
        <f>IF(B164="","",IF(M164="",IF(L164="Карантин",INT(TODAY())-B164,""),M164-B164))</f>
        <v/>
      </c>
      <c r="Q164" s="18">
        <f>IF(C164="","",IFERROR(INDEX(Справочники!$D$6:$D$45,MATCH(C164,Справочники!$A$6:$A$45,0)),""))</f>
        <v/>
      </c>
    </row>
    <row r="165">
      <c r="A165" s="18">
        <f>IF(B165="","",ROW()-5)</f>
        <v/>
      </c>
      <c r="B165" s="19" t="n">
        <v>46320</v>
      </c>
      <c r="C165" s="20" t="inlineStr">
        <is>
          <t>М-09</t>
        </is>
      </c>
      <c r="D165" s="21">
        <f>IF(C165="","",IFERROR(INDEX(Справочники!$B$6:$B$45,MATCH(C165,Справочники!$A$6:$A$45,0)),"нет в справочнике"))</f>
        <v/>
      </c>
      <c r="E165" s="20" t="inlineStr">
        <is>
          <t>ООО «Крепёж-Опт»</t>
        </is>
      </c>
      <c r="F165" s="20" t="inlineStr">
        <is>
          <t>С-6600 от 25.10</t>
        </is>
      </c>
      <c r="G165" s="20" t="inlineStr">
        <is>
          <t>П145</t>
        </is>
      </c>
      <c r="H165" s="20" t="n">
        <v>100</v>
      </c>
      <c r="I165" s="18">
        <f>IF(C165="","",IFERROR(INDEX(Справочники!$C$6:$C$45,MATCH(C165,Справочники!$A$6:$A$45,0)),""))</f>
        <v/>
      </c>
      <c r="J165" s="22">
        <f>IF(C165="","",IFERROR(INDEX(Справочники!$E$6:$E$45,MATCH(C165,Справочники!$A$6:$A$45,0)),""))</f>
        <v/>
      </c>
      <c r="K165" s="23" t="inlineStr">
        <is>
          <t>Соответствует</t>
        </is>
      </c>
      <c r="L165" s="20" t="inlineStr">
        <is>
          <t>Принято</t>
        </is>
      </c>
      <c r="M165" s="19" t="n">
        <v>46321</v>
      </c>
      <c r="N165" s="20" t="inlineStr">
        <is>
          <t>Иванова Е.</t>
        </is>
      </c>
      <c r="O165" s="23" t="inlineStr"/>
      <c r="P165" s="18">
        <f>IF(B165="","",IF(M165="",IF(L165="Карантин",INT(TODAY())-B165,""),M165-B165))</f>
        <v/>
      </c>
      <c r="Q165" s="18">
        <f>IF(C165="","",IFERROR(INDEX(Справочники!$D$6:$D$45,MATCH(C165,Справочники!$A$6:$A$45,0)),""))</f>
        <v/>
      </c>
    </row>
    <row r="166">
      <c r="A166" s="18">
        <f>IF(B166="","",ROW()-5)</f>
        <v/>
      </c>
      <c r="B166" s="19" t="n">
        <v>46320</v>
      </c>
      <c r="C166" s="20" t="inlineStr">
        <is>
          <t>М-04</t>
        </is>
      </c>
      <c r="D166" s="21">
        <f>IF(C166="","",IFERROR(INDEX(Справочники!$B$6:$B$45,MATCH(C166,Справочники!$A$6:$A$45,0)),"нет в справочнике"))</f>
        <v/>
      </c>
      <c r="E166" s="20" t="inlineStr">
        <is>
          <t>ООО «Колор-Покрытия»</t>
        </is>
      </c>
      <c r="F166" s="20" t="inlineStr">
        <is>
          <t>С-7059 от 25.10</t>
        </is>
      </c>
      <c r="G166" s="20" t="inlineStr">
        <is>
          <t>П324</t>
        </is>
      </c>
      <c r="H166" s="20" t="n">
        <v>1000</v>
      </c>
      <c r="I166" s="18">
        <f>IF(C166="","",IFERROR(INDEX(Справочники!$C$6:$C$45,MATCH(C166,Справочники!$A$6:$A$45,0)),""))</f>
        <v/>
      </c>
      <c r="J166" s="22">
        <f>IF(C166="","",IFERROR(INDEX(Справочники!$E$6:$E$45,MATCH(C166,Справочники!$A$6:$A$45,0)),""))</f>
        <v/>
      </c>
      <c r="K166" s="23" t="inlineStr">
        <is>
          <t>Соответствует</t>
        </is>
      </c>
      <c r="L166" s="20" t="inlineStr">
        <is>
          <t>Принято</t>
        </is>
      </c>
      <c r="M166" s="19" t="n">
        <v>46322</v>
      </c>
      <c r="N166" s="20" t="inlineStr">
        <is>
          <t>Смирнов К.</t>
        </is>
      </c>
      <c r="O166" s="23" t="inlineStr"/>
      <c r="P166" s="18">
        <f>IF(B166="","",IF(M166="",IF(L166="Карантин",INT(TODAY())-B166,""),M166-B166))</f>
        <v/>
      </c>
      <c r="Q166" s="18">
        <f>IF(C166="","",IFERROR(INDEX(Справочники!$D$6:$D$45,MATCH(C166,Справочники!$A$6:$A$45,0)),""))</f>
        <v/>
      </c>
    </row>
    <row r="167">
      <c r="A167" s="18">
        <f>IF(B167="","",ROW()-5)</f>
        <v/>
      </c>
      <c r="B167" s="19" t="n">
        <v>46317</v>
      </c>
      <c r="C167" s="20" t="inlineStr">
        <is>
          <t>М-01</t>
        </is>
      </c>
      <c r="D167" s="21">
        <f>IF(C167="","",IFERROR(INDEX(Справочники!$B$6:$B$45,MATCH(C167,Справочники!$A$6:$A$45,0)),"нет в справочнике"))</f>
        <v/>
      </c>
      <c r="E167" s="20" t="inlineStr">
        <is>
          <t>АО «СтальПром»</t>
        </is>
      </c>
      <c r="F167" s="20" t="inlineStr">
        <is>
          <t>С-5531 от 22.10</t>
        </is>
      </c>
      <c r="G167" s="20" t="inlineStr">
        <is>
          <t>П771</t>
        </is>
      </c>
      <c r="H167" s="20" t="n">
        <v>12.4</v>
      </c>
      <c r="I167" s="18">
        <f>IF(C167="","",IFERROR(INDEX(Справочники!$C$6:$C$45,MATCH(C167,Справочники!$A$6:$A$45,0)),""))</f>
        <v/>
      </c>
      <c r="J167" s="22">
        <f>IF(C167="","",IFERROR(INDEX(Справочники!$E$6:$E$45,MATCH(C167,Справочники!$A$6:$A$45,0)),""))</f>
        <v/>
      </c>
      <c r="K167" s="23" t="inlineStr">
        <is>
          <t>Ожидаем протокол лаборатории</t>
        </is>
      </c>
      <c r="L167" s="20" t="inlineStr">
        <is>
          <t>Карантин</t>
        </is>
      </c>
      <c r="M167" s="19" t="n"/>
      <c r="N167" s="20" t="inlineStr">
        <is>
          <t>Смирнов К.</t>
        </is>
      </c>
      <c r="O167" s="23" t="inlineStr"/>
      <c r="P167" s="18">
        <f>IF(B167="","",IF(M167="",IF(L167="Карантин",INT(TODAY())-B167,""),M167-B167))</f>
        <v/>
      </c>
      <c r="Q167" s="18">
        <f>IF(C167="","",IFERROR(INDEX(Справочники!$D$6:$D$45,MATCH(C167,Справочники!$A$6:$A$45,0)),""))</f>
        <v/>
      </c>
    </row>
    <row r="168">
      <c r="A168" s="18">
        <f>IF(B168="","",ROW()-5)</f>
        <v/>
      </c>
      <c r="B168" s="19" t="n">
        <v>46322</v>
      </c>
      <c r="C168" s="20" t="inlineStr">
        <is>
          <t>М-08</t>
        </is>
      </c>
      <c r="D168" s="21">
        <f>IF(C168="","",IFERROR(INDEX(Справочники!$B$6:$B$45,MATCH(C168,Справочники!$A$6:$A$45,0)),"нет в справочнике"))</f>
        <v/>
      </c>
      <c r="E168" s="20" t="inlineStr">
        <is>
          <t>ООО «КабельТорг»</t>
        </is>
      </c>
      <c r="F168" s="20" t="inlineStr">
        <is>
          <t>С-2210 от 27.10</t>
        </is>
      </c>
      <c r="G168" s="20" t="inlineStr">
        <is>
          <t>П118</t>
        </is>
      </c>
      <c r="H168" s="20" t="n">
        <v>1000</v>
      </c>
      <c r="I168" s="18">
        <f>IF(C168="","",IFERROR(INDEX(Справочники!$C$6:$C$45,MATCH(C168,Справочники!$A$6:$A$45,0)),""))</f>
        <v/>
      </c>
      <c r="J168" s="22">
        <f>IF(C168="","",IFERROR(INDEX(Справочники!$E$6:$E$45,MATCH(C168,Справочники!$A$6:$A$45,0)),""))</f>
        <v/>
      </c>
      <c r="K168" s="23" t="inlineStr">
        <is>
          <t>Отобран образец</t>
        </is>
      </c>
      <c r="L168" s="20" t="inlineStr">
        <is>
          <t>Карантин</t>
        </is>
      </c>
      <c r="M168" s="19" t="n"/>
      <c r="N168" s="20" t="inlineStr">
        <is>
          <t>Орлова Т.</t>
        </is>
      </c>
      <c r="O168" s="23" t="inlineStr"/>
      <c r="P168" s="18">
        <f>IF(B168="","",IF(M168="",IF(L168="Карантин",INT(TODAY())-B168,""),M168-B168))</f>
        <v/>
      </c>
      <c r="Q168" s="18">
        <f>IF(C168="","",IFERROR(INDEX(Справочники!$D$6:$D$45,MATCH(C168,Справочники!$A$6:$A$45,0)),""))</f>
        <v/>
      </c>
    </row>
    <row r="169">
      <c r="A169" s="18">
        <f>IF(B169="","",ROW()-5)</f>
        <v/>
      </c>
      <c r="B169" s="19" t="n"/>
      <c r="C169" s="20" t="n"/>
      <c r="D169" s="21">
        <f>IF(C169="","",IFERROR(INDEX(Справочники!$B$6:$B$45,MATCH(C169,Справочники!$A$6:$A$45,0)),"нет в справочнике"))</f>
        <v/>
      </c>
      <c r="E169" s="20" t="n"/>
      <c r="F169" s="20" t="n"/>
      <c r="G169" s="20" t="n"/>
      <c r="H169" s="20" t="n"/>
      <c r="I169" s="18">
        <f>IF(C169="","",IFERROR(INDEX(Справочники!$C$6:$C$45,MATCH(C169,Справочники!$A$6:$A$45,0)),""))</f>
        <v/>
      </c>
      <c r="J169" s="22">
        <f>IF(C169="","",IFERROR(INDEX(Справочники!$E$6:$E$45,MATCH(C169,Справочники!$A$6:$A$45,0)),""))</f>
        <v/>
      </c>
      <c r="K169" s="23" t="n"/>
      <c r="L169" s="20" t="n"/>
      <c r="M169" s="19" t="n"/>
      <c r="N169" s="20" t="n"/>
      <c r="O169" s="23" t="n"/>
      <c r="P169" s="18">
        <f>IF(B169="","",IF(M169="",IF(L169="Карантин",INT(TODAY())-B169,""),M169-B169))</f>
        <v/>
      </c>
      <c r="Q169" s="18">
        <f>IF(C169="","",IFERROR(INDEX(Справочники!$D$6:$D$45,MATCH(C169,Справочники!$A$6:$A$45,0)),""))</f>
        <v/>
      </c>
    </row>
    <row r="170">
      <c r="A170" s="18">
        <f>IF(B170="","",ROW()-5)</f>
        <v/>
      </c>
      <c r="B170" s="19" t="n"/>
      <c r="C170" s="20" t="n"/>
      <c r="D170" s="21">
        <f>IF(C170="","",IFERROR(INDEX(Справочники!$B$6:$B$45,MATCH(C170,Справочники!$A$6:$A$45,0)),"нет в справочнике"))</f>
        <v/>
      </c>
      <c r="E170" s="20" t="n"/>
      <c r="F170" s="20" t="n"/>
      <c r="G170" s="20" t="n"/>
      <c r="H170" s="20" t="n"/>
      <c r="I170" s="18">
        <f>IF(C170="","",IFERROR(INDEX(Справочники!$C$6:$C$45,MATCH(C170,Справочники!$A$6:$A$45,0)),""))</f>
        <v/>
      </c>
      <c r="J170" s="22">
        <f>IF(C170="","",IFERROR(INDEX(Справочники!$E$6:$E$45,MATCH(C170,Справочники!$A$6:$A$45,0)),""))</f>
        <v/>
      </c>
      <c r="K170" s="23" t="n"/>
      <c r="L170" s="20" t="n"/>
      <c r="M170" s="19" t="n"/>
      <c r="N170" s="20" t="n"/>
      <c r="O170" s="23" t="n"/>
      <c r="P170" s="18">
        <f>IF(B170="","",IF(M170="",IF(L170="Карантин",INT(TODAY())-B170,""),M170-B170))</f>
        <v/>
      </c>
      <c r="Q170" s="18">
        <f>IF(C170="","",IFERROR(INDEX(Справочники!$D$6:$D$45,MATCH(C170,Справочники!$A$6:$A$45,0)),""))</f>
        <v/>
      </c>
    </row>
    <row r="171">
      <c r="A171" s="18">
        <f>IF(B171="","",ROW()-5)</f>
        <v/>
      </c>
      <c r="B171" s="19" t="n"/>
      <c r="C171" s="20" t="n"/>
      <c r="D171" s="21">
        <f>IF(C171="","",IFERROR(INDEX(Справочники!$B$6:$B$45,MATCH(C171,Справочники!$A$6:$A$45,0)),"нет в справочнике"))</f>
        <v/>
      </c>
      <c r="E171" s="20" t="n"/>
      <c r="F171" s="20" t="n"/>
      <c r="G171" s="20" t="n"/>
      <c r="H171" s="20" t="n"/>
      <c r="I171" s="18">
        <f>IF(C171="","",IFERROR(INDEX(Справочники!$C$6:$C$45,MATCH(C171,Справочники!$A$6:$A$45,0)),""))</f>
        <v/>
      </c>
      <c r="J171" s="22">
        <f>IF(C171="","",IFERROR(INDEX(Справочники!$E$6:$E$45,MATCH(C171,Справочники!$A$6:$A$45,0)),""))</f>
        <v/>
      </c>
      <c r="K171" s="23" t="n"/>
      <c r="L171" s="20" t="n"/>
      <c r="M171" s="19" t="n"/>
      <c r="N171" s="20" t="n"/>
      <c r="O171" s="23" t="n"/>
      <c r="P171" s="18">
        <f>IF(B171="","",IF(M171="",IF(L171="Карантин",INT(TODAY())-B171,""),M171-B171))</f>
        <v/>
      </c>
      <c r="Q171" s="18">
        <f>IF(C171="","",IFERROR(INDEX(Справочники!$D$6:$D$45,MATCH(C171,Справочники!$A$6:$A$45,0)),""))</f>
        <v/>
      </c>
    </row>
    <row r="172">
      <c r="A172" s="18">
        <f>IF(B172="","",ROW()-5)</f>
        <v/>
      </c>
      <c r="B172" s="19" t="n"/>
      <c r="C172" s="20" t="n"/>
      <c r="D172" s="21">
        <f>IF(C172="","",IFERROR(INDEX(Справочники!$B$6:$B$45,MATCH(C172,Справочники!$A$6:$A$45,0)),"нет в справочнике"))</f>
        <v/>
      </c>
      <c r="E172" s="20" t="n"/>
      <c r="F172" s="20" t="n"/>
      <c r="G172" s="20" t="n"/>
      <c r="H172" s="20" t="n"/>
      <c r="I172" s="18">
        <f>IF(C172="","",IFERROR(INDEX(Справочники!$C$6:$C$45,MATCH(C172,Справочники!$A$6:$A$45,0)),""))</f>
        <v/>
      </c>
      <c r="J172" s="22">
        <f>IF(C172="","",IFERROR(INDEX(Справочники!$E$6:$E$45,MATCH(C172,Справочники!$A$6:$A$45,0)),""))</f>
        <v/>
      </c>
      <c r="K172" s="23" t="n"/>
      <c r="L172" s="20" t="n"/>
      <c r="M172" s="19" t="n"/>
      <c r="N172" s="20" t="n"/>
      <c r="O172" s="23" t="n"/>
      <c r="P172" s="18">
        <f>IF(B172="","",IF(M172="",IF(L172="Карантин",INT(TODAY())-B172,""),M172-B172))</f>
        <v/>
      </c>
      <c r="Q172" s="18">
        <f>IF(C172="","",IFERROR(INDEX(Справочники!$D$6:$D$45,MATCH(C172,Справочники!$A$6:$A$45,0)),""))</f>
        <v/>
      </c>
    </row>
    <row r="173">
      <c r="A173" s="18">
        <f>IF(B173="","",ROW()-5)</f>
        <v/>
      </c>
      <c r="B173" s="19" t="n"/>
      <c r="C173" s="20" t="n"/>
      <c r="D173" s="21">
        <f>IF(C173="","",IFERROR(INDEX(Справочники!$B$6:$B$45,MATCH(C173,Справочники!$A$6:$A$45,0)),"нет в справочнике"))</f>
        <v/>
      </c>
      <c r="E173" s="20" t="n"/>
      <c r="F173" s="20" t="n"/>
      <c r="G173" s="20" t="n"/>
      <c r="H173" s="20" t="n"/>
      <c r="I173" s="18">
        <f>IF(C173="","",IFERROR(INDEX(Справочники!$C$6:$C$45,MATCH(C173,Справочники!$A$6:$A$45,0)),""))</f>
        <v/>
      </c>
      <c r="J173" s="22">
        <f>IF(C173="","",IFERROR(INDEX(Справочники!$E$6:$E$45,MATCH(C173,Справочники!$A$6:$A$45,0)),""))</f>
        <v/>
      </c>
      <c r="K173" s="23" t="n"/>
      <c r="L173" s="20" t="n"/>
      <c r="M173" s="19" t="n"/>
      <c r="N173" s="20" t="n"/>
      <c r="O173" s="23" t="n"/>
      <c r="P173" s="18">
        <f>IF(B173="","",IF(M173="",IF(L173="Карантин",INT(TODAY())-B173,""),M173-B173))</f>
        <v/>
      </c>
      <c r="Q173" s="18">
        <f>IF(C173="","",IFERROR(INDEX(Справочники!$D$6:$D$45,MATCH(C173,Справочники!$A$6:$A$45,0)),""))</f>
        <v/>
      </c>
    </row>
    <row r="174">
      <c r="A174" s="18">
        <f>IF(B174="","",ROW()-5)</f>
        <v/>
      </c>
      <c r="B174" s="19" t="n"/>
      <c r="C174" s="20" t="n"/>
      <c r="D174" s="21">
        <f>IF(C174="","",IFERROR(INDEX(Справочники!$B$6:$B$45,MATCH(C174,Справочники!$A$6:$A$45,0)),"нет в справочнике"))</f>
        <v/>
      </c>
      <c r="E174" s="20" t="n"/>
      <c r="F174" s="20" t="n"/>
      <c r="G174" s="20" t="n"/>
      <c r="H174" s="20" t="n"/>
      <c r="I174" s="18">
        <f>IF(C174="","",IFERROR(INDEX(Справочники!$C$6:$C$45,MATCH(C174,Справочники!$A$6:$A$45,0)),""))</f>
        <v/>
      </c>
      <c r="J174" s="22">
        <f>IF(C174="","",IFERROR(INDEX(Справочники!$E$6:$E$45,MATCH(C174,Справочники!$A$6:$A$45,0)),""))</f>
        <v/>
      </c>
      <c r="K174" s="23" t="n"/>
      <c r="L174" s="20" t="n"/>
      <c r="M174" s="19" t="n"/>
      <c r="N174" s="20" t="n"/>
      <c r="O174" s="23" t="n"/>
      <c r="P174" s="18">
        <f>IF(B174="","",IF(M174="",IF(L174="Карантин",INT(TODAY())-B174,""),M174-B174))</f>
        <v/>
      </c>
      <c r="Q174" s="18">
        <f>IF(C174="","",IFERROR(INDEX(Справочники!$D$6:$D$45,MATCH(C174,Справочники!$A$6:$A$45,0)),""))</f>
        <v/>
      </c>
    </row>
    <row r="175">
      <c r="A175" s="18">
        <f>IF(B175="","",ROW()-5)</f>
        <v/>
      </c>
      <c r="B175" s="19" t="n"/>
      <c r="C175" s="20" t="n"/>
      <c r="D175" s="21">
        <f>IF(C175="","",IFERROR(INDEX(Справочники!$B$6:$B$45,MATCH(C175,Справочники!$A$6:$A$45,0)),"нет в справочнике"))</f>
        <v/>
      </c>
      <c r="E175" s="20" t="n"/>
      <c r="F175" s="20" t="n"/>
      <c r="G175" s="20" t="n"/>
      <c r="H175" s="20" t="n"/>
      <c r="I175" s="18">
        <f>IF(C175="","",IFERROR(INDEX(Справочники!$C$6:$C$45,MATCH(C175,Справочники!$A$6:$A$45,0)),""))</f>
        <v/>
      </c>
      <c r="J175" s="22">
        <f>IF(C175="","",IFERROR(INDEX(Справочники!$E$6:$E$45,MATCH(C175,Справочники!$A$6:$A$45,0)),""))</f>
        <v/>
      </c>
      <c r="K175" s="23" t="n"/>
      <c r="L175" s="20" t="n"/>
      <c r="M175" s="19" t="n"/>
      <c r="N175" s="20" t="n"/>
      <c r="O175" s="23" t="n"/>
      <c r="P175" s="18">
        <f>IF(B175="","",IF(M175="",IF(L175="Карантин",INT(TODAY())-B175,""),M175-B175))</f>
        <v/>
      </c>
      <c r="Q175" s="18">
        <f>IF(C175="","",IFERROR(INDEX(Справочники!$D$6:$D$45,MATCH(C175,Справочники!$A$6:$A$45,0)),""))</f>
        <v/>
      </c>
    </row>
    <row r="176">
      <c r="A176" s="18">
        <f>IF(B176="","",ROW()-5)</f>
        <v/>
      </c>
      <c r="B176" s="19" t="n"/>
      <c r="C176" s="20" t="n"/>
      <c r="D176" s="21">
        <f>IF(C176="","",IFERROR(INDEX(Справочники!$B$6:$B$45,MATCH(C176,Справочники!$A$6:$A$45,0)),"нет в справочнике"))</f>
        <v/>
      </c>
      <c r="E176" s="20" t="n"/>
      <c r="F176" s="20" t="n"/>
      <c r="G176" s="20" t="n"/>
      <c r="H176" s="20" t="n"/>
      <c r="I176" s="18">
        <f>IF(C176="","",IFERROR(INDEX(Справочники!$C$6:$C$45,MATCH(C176,Справочники!$A$6:$A$45,0)),""))</f>
        <v/>
      </c>
      <c r="J176" s="22">
        <f>IF(C176="","",IFERROR(INDEX(Справочники!$E$6:$E$45,MATCH(C176,Справочники!$A$6:$A$45,0)),""))</f>
        <v/>
      </c>
      <c r="K176" s="23" t="n"/>
      <c r="L176" s="20" t="n"/>
      <c r="M176" s="19" t="n"/>
      <c r="N176" s="20" t="n"/>
      <c r="O176" s="23" t="n"/>
      <c r="P176" s="18">
        <f>IF(B176="","",IF(M176="",IF(L176="Карантин",INT(TODAY())-B176,""),M176-B176))</f>
        <v/>
      </c>
      <c r="Q176" s="18">
        <f>IF(C176="","",IFERROR(INDEX(Справочники!$D$6:$D$45,MATCH(C176,Справочники!$A$6:$A$45,0)),""))</f>
        <v/>
      </c>
    </row>
    <row r="177">
      <c r="A177" s="18">
        <f>IF(B177="","",ROW()-5)</f>
        <v/>
      </c>
      <c r="B177" s="19" t="n"/>
      <c r="C177" s="20" t="n"/>
      <c r="D177" s="21">
        <f>IF(C177="","",IFERROR(INDEX(Справочники!$B$6:$B$45,MATCH(C177,Справочники!$A$6:$A$45,0)),"нет в справочнике"))</f>
        <v/>
      </c>
      <c r="E177" s="20" t="n"/>
      <c r="F177" s="20" t="n"/>
      <c r="G177" s="20" t="n"/>
      <c r="H177" s="20" t="n"/>
      <c r="I177" s="18">
        <f>IF(C177="","",IFERROR(INDEX(Справочники!$C$6:$C$45,MATCH(C177,Справочники!$A$6:$A$45,0)),""))</f>
        <v/>
      </c>
      <c r="J177" s="22">
        <f>IF(C177="","",IFERROR(INDEX(Справочники!$E$6:$E$45,MATCH(C177,Справочники!$A$6:$A$45,0)),""))</f>
        <v/>
      </c>
      <c r="K177" s="23" t="n"/>
      <c r="L177" s="20" t="n"/>
      <c r="M177" s="19" t="n"/>
      <c r="N177" s="20" t="n"/>
      <c r="O177" s="23" t="n"/>
      <c r="P177" s="18">
        <f>IF(B177="","",IF(M177="",IF(L177="Карантин",INT(TODAY())-B177,""),M177-B177))</f>
        <v/>
      </c>
      <c r="Q177" s="18">
        <f>IF(C177="","",IFERROR(INDEX(Справочники!$D$6:$D$45,MATCH(C177,Справочники!$A$6:$A$45,0)),""))</f>
        <v/>
      </c>
    </row>
    <row r="178">
      <c r="A178" s="18">
        <f>IF(B178="","",ROW()-5)</f>
        <v/>
      </c>
      <c r="B178" s="19" t="n"/>
      <c r="C178" s="20" t="n"/>
      <c r="D178" s="21">
        <f>IF(C178="","",IFERROR(INDEX(Справочники!$B$6:$B$45,MATCH(C178,Справочники!$A$6:$A$45,0)),"нет в справочнике"))</f>
        <v/>
      </c>
      <c r="E178" s="20" t="n"/>
      <c r="F178" s="20" t="n"/>
      <c r="G178" s="20" t="n"/>
      <c r="H178" s="20" t="n"/>
      <c r="I178" s="18">
        <f>IF(C178="","",IFERROR(INDEX(Справочники!$C$6:$C$45,MATCH(C178,Справочники!$A$6:$A$45,0)),""))</f>
        <v/>
      </c>
      <c r="J178" s="22">
        <f>IF(C178="","",IFERROR(INDEX(Справочники!$E$6:$E$45,MATCH(C178,Справочники!$A$6:$A$45,0)),""))</f>
        <v/>
      </c>
      <c r="K178" s="23" t="n"/>
      <c r="L178" s="20" t="n"/>
      <c r="M178" s="19" t="n"/>
      <c r="N178" s="20" t="n"/>
      <c r="O178" s="23" t="n"/>
      <c r="P178" s="18">
        <f>IF(B178="","",IF(M178="",IF(L178="Карантин",INT(TODAY())-B178,""),M178-B178))</f>
        <v/>
      </c>
      <c r="Q178" s="18">
        <f>IF(C178="","",IFERROR(INDEX(Справочники!$D$6:$D$45,MATCH(C178,Справочники!$A$6:$A$45,0)),""))</f>
        <v/>
      </c>
    </row>
    <row r="179">
      <c r="A179" s="18">
        <f>IF(B179="","",ROW()-5)</f>
        <v/>
      </c>
      <c r="B179" s="19" t="n"/>
      <c r="C179" s="20" t="n"/>
      <c r="D179" s="21">
        <f>IF(C179="","",IFERROR(INDEX(Справочники!$B$6:$B$45,MATCH(C179,Справочники!$A$6:$A$45,0)),"нет в справочнике"))</f>
        <v/>
      </c>
      <c r="E179" s="20" t="n"/>
      <c r="F179" s="20" t="n"/>
      <c r="G179" s="20" t="n"/>
      <c r="H179" s="20" t="n"/>
      <c r="I179" s="18">
        <f>IF(C179="","",IFERROR(INDEX(Справочники!$C$6:$C$45,MATCH(C179,Справочники!$A$6:$A$45,0)),""))</f>
        <v/>
      </c>
      <c r="J179" s="22">
        <f>IF(C179="","",IFERROR(INDEX(Справочники!$E$6:$E$45,MATCH(C179,Справочники!$A$6:$A$45,0)),""))</f>
        <v/>
      </c>
      <c r="K179" s="23" t="n"/>
      <c r="L179" s="20" t="n"/>
      <c r="M179" s="19" t="n"/>
      <c r="N179" s="20" t="n"/>
      <c r="O179" s="23" t="n"/>
      <c r="P179" s="18">
        <f>IF(B179="","",IF(M179="",IF(L179="Карантин",INT(TODAY())-B179,""),M179-B179))</f>
        <v/>
      </c>
      <c r="Q179" s="18">
        <f>IF(C179="","",IFERROR(INDEX(Справочники!$D$6:$D$45,MATCH(C179,Справочники!$A$6:$A$45,0)),""))</f>
        <v/>
      </c>
    </row>
    <row r="180">
      <c r="A180" s="18">
        <f>IF(B180="","",ROW()-5)</f>
        <v/>
      </c>
      <c r="B180" s="19" t="n"/>
      <c r="C180" s="20" t="n"/>
      <c r="D180" s="21">
        <f>IF(C180="","",IFERROR(INDEX(Справочники!$B$6:$B$45,MATCH(C180,Справочники!$A$6:$A$45,0)),"нет в справочнике"))</f>
        <v/>
      </c>
      <c r="E180" s="20" t="n"/>
      <c r="F180" s="20" t="n"/>
      <c r="G180" s="20" t="n"/>
      <c r="H180" s="20" t="n"/>
      <c r="I180" s="18">
        <f>IF(C180="","",IFERROR(INDEX(Справочники!$C$6:$C$45,MATCH(C180,Справочники!$A$6:$A$45,0)),""))</f>
        <v/>
      </c>
      <c r="J180" s="22">
        <f>IF(C180="","",IFERROR(INDEX(Справочники!$E$6:$E$45,MATCH(C180,Справочники!$A$6:$A$45,0)),""))</f>
        <v/>
      </c>
      <c r="K180" s="23" t="n"/>
      <c r="L180" s="20" t="n"/>
      <c r="M180" s="19" t="n"/>
      <c r="N180" s="20" t="n"/>
      <c r="O180" s="23" t="n"/>
      <c r="P180" s="18">
        <f>IF(B180="","",IF(M180="",IF(L180="Карантин",INT(TODAY())-B180,""),M180-B180))</f>
        <v/>
      </c>
      <c r="Q180" s="18">
        <f>IF(C180="","",IFERROR(INDEX(Справочники!$D$6:$D$45,MATCH(C180,Справочники!$A$6:$A$45,0)),""))</f>
        <v/>
      </c>
    </row>
    <row r="181">
      <c r="A181" s="18">
        <f>IF(B181="","",ROW()-5)</f>
        <v/>
      </c>
      <c r="B181" s="19" t="n"/>
      <c r="C181" s="20" t="n"/>
      <c r="D181" s="21">
        <f>IF(C181="","",IFERROR(INDEX(Справочники!$B$6:$B$45,MATCH(C181,Справочники!$A$6:$A$45,0)),"нет в справочнике"))</f>
        <v/>
      </c>
      <c r="E181" s="20" t="n"/>
      <c r="F181" s="20" t="n"/>
      <c r="G181" s="20" t="n"/>
      <c r="H181" s="20" t="n"/>
      <c r="I181" s="18">
        <f>IF(C181="","",IFERROR(INDEX(Справочники!$C$6:$C$45,MATCH(C181,Справочники!$A$6:$A$45,0)),""))</f>
        <v/>
      </c>
      <c r="J181" s="22">
        <f>IF(C181="","",IFERROR(INDEX(Справочники!$E$6:$E$45,MATCH(C181,Справочники!$A$6:$A$45,0)),""))</f>
        <v/>
      </c>
      <c r="K181" s="23" t="n"/>
      <c r="L181" s="20" t="n"/>
      <c r="M181" s="19" t="n"/>
      <c r="N181" s="20" t="n"/>
      <c r="O181" s="23" t="n"/>
      <c r="P181" s="18">
        <f>IF(B181="","",IF(M181="",IF(L181="Карантин",INT(TODAY())-B181,""),M181-B181))</f>
        <v/>
      </c>
      <c r="Q181" s="18">
        <f>IF(C181="","",IFERROR(INDEX(Справочники!$D$6:$D$45,MATCH(C181,Справочники!$A$6:$A$45,0)),""))</f>
        <v/>
      </c>
    </row>
    <row r="182">
      <c r="A182" s="18">
        <f>IF(B182="","",ROW()-5)</f>
        <v/>
      </c>
      <c r="B182" s="19" t="n"/>
      <c r="C182" s="20" t="n"/>
      <c r="D182" s="21">
        <f>IF(C182="","",IFERROR(INDEX(Справочники!$B$6:$B$45,MATCH(C182,Справочники!$A$6:$A$45,0)),"нет в справочнике"))</f>
        <v/>
      </c>
      <c r="E182" s="20" t="n"/>
      <c r="F182" s="20" t="n"/>
      <c r="G182" s="20" t="n"/>
      <c r="H182" s="20" t="n"/>
      <c r="I182" s="18">
        <f>IF(C182="","",IFERROR(INDEX(Справочники!$C$6:$C$45,MATCH(C182,Справочники!$A$6:$A$45,0)),""))</f>
        <v/>
      </c>
      <c r="J182" s="22">
        <f>IF(C182="","",IFERROR(INDEX(Справочники!$E$6:$E$45,MATCH(C182,Справочники!$A$6:$A$45,0)),""))</f>
        <v/>
      </c>
      <c r="K182" s="23" t="n"/>
      <c r="L182" s="20" t="n"/>
      <c r="M182" s="19" t="n"/>
      <c r="N182" s="20" t="n"/>
      <c r="O182" s="23" t="n"/>
      <c r="P182" s="18">
        <f>IF(B182="","",IF(M182="",IF(L182="Карантин",INT(TODAY())-B182,""),M182-B182))</f>
        <v/>
      </c>
      <c r="Q182" s="18">
        <f>IF(C182="","",IFERROR(INDEX(Справочники!$D$6:$D$45,MATCH(C182,Справочники!$A$6:$A$45,0)),""))</f>
        <v/>
      </c>
    </row>
    <row r="183">
      <c r="A183" s="18">
        <f>IF(B183="","",ROW()-5)</f>
        <v/>
      </c>
      <c r="B183" s="19" t="n"/>
      <c r="C183" s="20" t="n"/>
      <c r="D183" s="21">
        <f>IF(C183="","",IFERROR(INDEX(Справочники!$B$6:$B$45,MATCH(C183,Справочники!$A$6:$A$45,0)),"нет в справочнике"))</f>
        <v/>
      </c>
      <c r="E183" s="20" t="n"/>
      <c r="F183" s="20" t="n"/>
      <c r="G183" s="20" t="n"/>
      <c r="H183" s="20" t="n"/>
      <c r="I183" s="18">
        <f>IF(C183="","",IFERROR(INDEX(Справочники!$C$6:$C$45,MATCH(C183,Справочники!$A$6:$A$45,0)),""))</f>
        <v/>
      </c>
      <c r="J183" s="22">
        <f>IF(C183="","",IFERROR(INDEX(Справочники!$E$6:$E$45,MATCH(C183,Справочники!$A$6:$A$45,0)),""))</f>
        <v/>
      </c>
      <c r="K183" s="23" t="n"/>
      <c r="L183" s="20" t="n"/>
      <c r="M183" s="19" t="n"/>
      <c r="N183" s="20" t="n"/>
      <c r="O183" s="23" t="n"/>
      <c r="P183" s="18">
        <f>IF(B183="","",IF(M183="",IF(L183="Карантин",INT(TODAY())-B183,""),M183-B183))</f>
        <v/>
      </c>
      <c r="Q183" s="18">
        <f>IF(C183="","",IFERROR(INDEX(Справочники!$D$6:$D$45,MATCH(C183,Справочники!$A$6:$A$45,0)),""))</f>
        <v/>
      </c>
    </row>
    <row r="184">
      <c r="A184" s="18">
        <f>IF(B184="","",ROW()-5)</f>
        <v/>
      </c>
      <c r="B184" s="19" t="n"/>
      <c r="C184" s="20" t="n"/>
      <c r="D184" s="21">
        <f>IF(C184="","",IFERROR(INDEX(Справочники!$B$6:$B$45,MATCH(C184,Справочники!$A$6:$A$45,0)),"нет в справочнике"))</f>
        <v/>
      </c>
      <c r="E184" s="20" t="n"/>
      <c r="F184" s="20" t="n"/>
      <c r="G184" s="20" t="n"/>
      <c r="H184" s="20" t="n"/>
      <c r="I184" s="18">
        <f>IF(C184="","",IFERROR(INDEX(Справочники!$C$6:$C$45,MATCH(C184,Справочники!$A$6:$A$45,0)),""))</f>
        <v/>
      </c>
      <c r="J184" s="22">
        <f>IF(C184="","",IFERROR(INDEX(Справочники!$E$6:$E$45,MATCH(C184,Справочники!$A$6:$A$45,0)),""))</f>
        <v/>
      </c>
      <c r="K184" s="23" t="n"/>
      <c r="L184" s="20" t="n"/>
      <c r="M184" s="19" t="n"/>
      <c r="N184" s="20" t="n"/>
      <c r="O184" s="23" t="n"/>
      <c r="P184" s="18">
        <f>IF(B184="","",IF(M184="",IF(L184="Карантин",INT(TODAY())-B184,""),M184-B184))</f>
        <v/>
      </c>
      <c r="Q184" s="18">
        <f>IF(C184="","",IFERROR(INDEX(Справочники!$D$6:$D$45,MATCH(C184,Справочники!$A$6:$A$45,0)),""))</f>
        <v/>
      </c>
    </row>
    <row r="185">
      <c r="A185" s="18">
        <f>IF(B185="","",ROW()-5)</f>
        <v/>
      </c>
      <c r="B185" s="19" t="n"/>
      <c r="C185" s="20" t="n"/>
      <c r="D185" s="21">
        <f>IF(C185="","",IFERROR(INDEX(Справочники!$B$6:$B$45,MATCH(C185,Справочники!$A$6:$A$45,0)),"нет в справочнике"))</f>
        <v/>
      </c>
      <c r="E185" s="20" t="n"/>
      <c r="F185" s="20" t="n"/>
      <c r="G185" s="20" t="n"/>
      <c r="H185" s="20" t="n"/>
      <c r="I185" s="18">
        <f>IF(C185="","",IFERROR(INDEX(Справочники!$C$6:$C$45,MATCH(C185,Справочники!$A$6:$A$45,0)),""))</f>
        <v/>
      </c>
      <c r="J185" s="22">
        <f>IF(C185="","",IFERROR(INDEX(Справочники!$E$6:$E$45,MATCH(C185,Справочники!$A$6:$A$45,0)),""))</f>
        <v/>
      </c>
      <c r="K185" s="23" t="n"/>
      <c r="L185" s="20" t="n"/>
      <c r="M185" s="19" t="n"/>
      <c r="N185" s="20" t="n"/>
      <c r="O185" s="23" t="n"/>
      <c r="P185" s="18">
        <f>IF(B185="","",IF(M185="",IF(L185="Карантин",INT(TODAY())-B185,""),M185-B185))</f>
        <v/>
      </c>
      <c r="Q185" s="18">
        <f>IF(C185="","",IFERROR(INDEX(Справочники!$D$6:$D$45,MATCH(C185,Справочники!$A$6:$A$45,0)),""))</f>
        <v/>
      </c>
    </row>
    <row r="186">
      <c r="A186" s="18">
        <f>IF(B186="","",ROW()-5)</f>
        <v/>
      </c>
      <c r="B186" s="19" t="n"/>
      <c r="C186" s="20" t="n"/>
      <c r="D186" s="21">
        <f>IF(C186="","",IFERROR(INDEX(Справочники!$B$6:$B$45,MATCH(C186,Справочники!$A$6:$A$45,0)),"нет в справочнике"))</f>
        <v/>
      </c>
      <c r="E186" s="20" t="n"/>
      <c r="F186" s="20" t="n"/>
      <c r="G186" s="20" t="n"/>
      <c r="H186" s="20" t="n"/>
      <c r="I186" s="18">
        <f>IF(C186="","",IFERROR(INDEX(Справочники!$C$6:$C$45,MATCH(C186,Справочники!$A$6:$A$45,0)),""))</f>
        <v/>
      </c>
      <c r="J186" s="22">
        <f>IF(C186="","",IFERROR(INDEX(Справочники!$E$6:$E$45,MATCH(C186,Справочники!$A$6:$A$45,0)),""))</f>
        <v/>
      </c>
      <c r="K186" s="23" t="n"/>
      <c r="L186" s="20" t="n"/>
      <c r="M186" s="19" t="n"/>
      <c r="N186" s="20" t="n"/>
      <c r="O186" s="23" t="n"/>
      <c r="P186" s="18">
        <f>IF(B186="","",IF(M186="",IF(L186="Карантин",INT(TODAY())-B186,""),M186-B186))</f>
        <v/>
      </c>
      <c r="Q186" s="18">
        <f>IF(C186="","",IFERROR(INDEX(Справочники!$D$6:$D$45,MATCH(C186,Справочники!$A$6:$A$45,0)),""))</f>
        <v/>
      </c>
    </row>
    <row r="187">
      <c r="A187" s="18">
        <f>IF(B187="","",ROW()-5)</f>
        <v/>
      </c>
      <c r="B187" s="19" t="n"/>
      <c r="C187" s="20" t="n"/>
      <c r="D187" s="21">
        <f>IF(C187="","",IFERROR(INDEX(Справочники!$B$6:$B$45,MATCH(C187,Справочники!$A$6:$A$45,0)),"нет в справочнике"))</f>
        <v/>
      </c>
      <c r="E187" s="20" t="n"/>
      <c r="F187" s="20" t="n"/>
      <c r="G187" s="20" t="n"/>
      <c r="H187" s="20" t="n"/>
      <c r="I187" s="18">
        <f>IF(C187="","",IFERROR(INDEX(Справочники!$C$6:$C$45,MATCH(C187,Справочники!$A$6:$A$45,0)),""))</f>
        <v/>
      </c>
      <c r="J187" s="22">
        <f>IF(C187="","",IFERROR(INDEX(Справочники!$E$6:$E$45,MATCH(C187,Справочники!$A$6:$A$45,0)),""))</f>
        <v/>
      </c>
      <c r="K187" s="23" t="n"/>
      <c r="L187" s="20" t="n"/>
      <c r="M187" s="19" t="n"/>
      <c r="N187" s="20" t="n"/>
      <c r="O187" s="23" t="n"/>
      <c r="P187" s="18">
        <f>IF(B187="","",IF(M187="",IF(L187="Карантин",INT(TODAY())-B187,""),M187-B187))</f>
        <v/>
      </c>
      <c r="Q187" s="18">
        <f>IF(C187="","",IFERROR(INDEX(Справочники!$D$6:$D$45,MATCH(C187,Справочники!$A$6:$A$45,0)),""))</f>
        <v/>
      </c>
    </row>
    <row r="188">
      <c r="A188" s="18">
        <f>IF(B188="","",ROW()-5)</f>
        <v/>
      </c>
      <c r="B188" s="19" t="n"/>
      <c r="C188" s="20" t="n"/>
      <c r="D188" s="21">
        <f>IF(C188="","",IFERROR(INDEX(Справочники!$B$6:$B$45,MATCH(C188,Справочники!$A$6:$A$45,0)),"нет в справочнике"))</f>
        <v/>
      </c>
      <c r="E188" s="20" t="n"/>
      <c r="F188" s="20" t="n"/>
      <c r="G188" s="20" t="n"/>
      <c r="H188" s="20" t="n"/>
      <c r="I188" s="18">
        <f>IF(C188="","",IFERROR(INDEX(Справочники!$C$6:$C$45,MATCH(C188,Справочники!$A$6:$A$45,0)),""))</f>
        <v/>
      </c>
      <c r="J188" s="22">
        <f>IF(C188="","",IFERROR(INDEX(Справочники!$E$6:$E$45,MATCH(C188,Справочники!$A$6:$A$45,0)),""))</f>
        <v/>
      </c>
      <c r="K188" s="23" t="n"/>
      <c r="L188" s="20" t="n"/>
      <c r="M188" s="19" t="n"/>
      <c r="N188" s="20" t="n"/>
      <c r="O188" s="23" t="n"/>
      <c r="P188" s="18">
        <f>IF(B188="","",IF(M188="",IF(L188="Карантин",INT(TODAY())-B188,""),M188-B188))</f>
        <v/>
      </c>
      <c r="Q188" s="18">
        <f>IF(C188="","",IFERROR(INDEX(Справочники!$D$6:$D$45,MATCH(C188,Справочники!$A$6:$A$45,0)),""))</f>
        <v/>
      </c>
    </row>
    <row r="189">
      <c r="A189" s="18">
        <f>IF(B189="","",ROW()-5)</f>
        <v/>
      </c>
      <c r="B189" s="19" t="n"/>
      <c r="C189" s="20" t="n"/>
      <c r="D189" s="21">
        <f>IF(C189="","",IFERROR(INDEX(Справочники!$B$6:$B$45,MATCH(C189,Справочники!$A$6:$A$45,0)),"нет в справочнике"))</f>
        <v/>
      </c>
      <c r="E189" s="20" t="n"/>
      <c r="F189" s="20" t="n"/>
      <c r="G189" s="20" t="n"/>
      <c r="H189" s="20" t="n"/>
      <c r="I189" s="18">
        <f>IF(C189="","",IFERROR(INDEX(Справочники!$C$6:$C$45,MATCH(C189,Справочники!$A$6:$A$45,0)),""))</f>
        <v/>
      </c>
      <c r="J189" s="22">
        <f>IF(C189="","",IFERROR(INDEX(Справочники!$E$6:$E$45,MATCH(C189,Справочники!$A$6:$A$45,0)),""))</f>
        <v/>
      </c>
      <c r="K189" s="23" t="n"/>
      <c r="L189" s="20" t="n"/>
      <c r="M189" s="19" t="n"/>
      <c r="N189" s="20" t="n"/>
      <c r="O189" s="23" t="n"/>
      <c r="P189" s="18">
        <f>IF(B189="","",IF(M189="",IF(L189="Карантин",INT(TODAY())-B189,""),M189-B189))</f>
        <v/>
      </c>
      <c r="Q189" s="18">
        <f>IF(C189="","",IFERROR(INDEX(Справочники!$D$6:$D$45,MATCH(C189,Справочники!$A$6:$A$45,0)),""))</f>
        <v/>
      </c>
    </row>
    <row r="190">
      <c r="A190" s="18">
        <f>IF(B190="","",ROW()-5)</f>
        <v/>
      </c>
      <c r="B190" s="19" t="n"/>
      <c r="C190" s="20" t="n"/>
      <c r="D190" s="21">
        <f>IF(C190="","",IFERROR(INDEX(Справочники!$B$6:$B$45,MATCH(C190,Справочники!$A$6:$A$45,0)),"нет в справочнике"))</f>
        <v/>
      </c>
      <c r="E190" s="20" t="n"/>
      <c r="F190" s="20" t="n"/>
      <c r="G190" s="20" t="n"/>
      <c r="H190" s="20" t="n"/>
      <c r="I190" s="18">
        <f>IF(C190="","",IFERROR(INDEX(Справочники!$C$6:$C$45,MATCH(C190,Справочники!$A$6:$A$45,0)),""))</f>
        <v/>
      </c>
      <c r="J190" s="22">
        <f>IF(C190="","",IFERROR(INDEX(Справочники!$E$6:$E$45,MATCH(C190,Справочники!$A$6:$A$45,0)),""))</f>
        <v/>
      </c>
      <c r="K190" s="23" t="n"/>
      <c r="L190" s="20" t="n"/>
      <c r="M190" s="19" t="n"/>
      <c r="N190" s="20" t="n"/>
      <c r="O190" s="23" t="n"/>
      <c r="P190" s="18">
        <f>IF(B190="","",IF(M190="",IF(L190="Карантин",INT(TODAY())-B190,""),M190-B190))</f>
        <v/>
      </c>
      <c r="Q190" s="18">
        <f>IF(C190="","",IFERROR(INDEX(Справочники!$D$6:$D$45,MATCH(C190,Справочники!$A$6:$A$45,0)),""))</f>
        <v/>
      </c>
    </row>
    <row r="191">
      <c r="A191" s="18">
        <f>IF(B191="","",ROW()-5)</f>
        <v/>
      </c>
      <c r="B191" s="19" t="n"/>
      <c r="C191" s="20" t="n"/>
      <c r="D191" s="21">
        <f>IF(C191="","",IFERROR(INDEX(Справочники!$B$6:$B$45,MATCH(C191,Справочники!$A$6:$A$45,0)),"нет в справочнике"))</f>
        <v/>
      </c>
      <c r="E191" s="20" t="n"/>
      <c r="F191" s="20" t="n"/>
      <c r="G191" s="20" t="n"/>
      <c r="H191" s="20" t="n"/>
      <c r="I191" s="18">
        <f>IF(C191="","",IFERROR(INDEX(Справочники!$C$6:$C$45,MATCH(C191,Справочники!$A$6:$A$45,0)),""))</f>
        <v/>
      </c>
      <c r="J191" s="22">
        <f>IF(C191="","",IFERROR(INDEX(Справочники!$E$6:$E$45,MATCH(C191,Справочники!$A$6:$A$45,0)),""))</f>
        <v/>
      </c>
      <c r="K191" s="23" t="n"/>
      <c r="L191" s="20" t="n"/>
      <c r="M191" s="19" t="n"/>
      <c r="N191" s="20" t="n"/>
      <c r="O191" s="23" t="n"/>
      <c r="P191" s="18">
        <f>IF(B191="","",IF(M191="",IF(L191="Карантин",INT(TODAY())-B191,""),M191-B191))</f>
        <v/>
      </c>
      <c r="Q191" s="18">
        <f>IF(C191="","",IFERROR(INDEX(Справочники!$D$6:$D$45,MATCH(C191,Справочники!$A$6:$A$45,0)),""))</f>
        <v/>
      </c>
    </row>
    <row r="192">
      <c r="A192" s="18">
        <f>IF(B192="","",ROW()-5)</f>
        <v/>
      </c>
      <c r="B192" s="19" t="n"/>
      <c r="C192" s="20" t="n"/>
      <c r="D192" s="21">
        <f>IF(C192="","",IFERROR(INDEX(Справочники!$B$6:$B$45,MATCH(C192,Справочники!$A$6:$A$45,0)),"нет в справочнике"))</f>
        <v/>
      </c>
      <c r="E192" s="20" t="n"/>
      <c r="F192" s="20" t="n"/>
      <c r="G192" s="20" t="n"/>
      <c r="H192" s="20" t="n"/>
      <c r="I192" s="18">
        <f>IF(C192="","",IFERROR(INDEX(Справочники!$C$6:$C$45,MATCH(C192,Справочники!$A$6:$A$45,0)),""))</f>
        <v/>
      </c>
      <c r="J192" s="22">
        <f>IF(C192="","",IFERROR(INDEX(Справочники!$E$6:$E$45,MATCH(C192,Справочники!$A$6:$A$45,0)),""))</f>
        <v/>
      </c>
      <c r="K192" s="23" t="n"/>
      <c r="L192" s="20" t="n"/>
      <c r="M192" s="19" t="n"/>
      <c r="N192" s="20" t="n"/>
      <c r="O192" s="23" t="n"/>
      <c r="P192" s="18">
        <f>IF(B192="","",IF(M192="",IF(L192="Карантин",INT(TODAY())-B192,""),M192-B192))</f>
        <v/>
      </c>
      <c r="Q192" s="18">
        <f>IF(C192="","",IFERROR(INDEX(Справочники!$D$6:$D$45,MATCH(C192,Справочники!$A$6:$A$45,0)),""))</f>
        <v/>
      </c>
    </row>
    <row r="193">
      <c r="A193" s="18">
        <f>IF(B193="","",ROW()-5)</f>
        <v/>
      </c>
      <c r="B193" s="19" t="n"/>
      <c r="C193" s="20" t="n"/>
      <c r="D193" s="21">
        <f>IF(C193="","",IFERROR(INDEX(Справочники!$B$6:$B$45,MATCH(C193,Справочники!$A$6:$A$45,0)),"нет в справочнике"))</f>
        <v/>
      </c>
      <c r="E193" s="20" t="n"/>
      <c r="F193" s="20" t="n"/>
      <c r="G193" s="20" t="n"/>
      <c r="H193" s="20" t="n"/>
      <c r="I193" s="18">
        <f>IF(C193="","",IFERROR(INDEX(Справочники!$C$6:$C$45,MATCH(C193,Справочники!$A$6:$A$45,0)),""))</f>
        <v/>
      </c>
      <c r="J193" s="22">
        <f>IF(C193="","",IFERROR(INDEX(Справочники!$E$6:$E$45,MATCH(C193,Справочники!$A$6:$A$45,0)),""))</f>
        <v/>
      </c>
      <c r="K193" s="23" t="n"/>
      <c r="L193" s="20" t="n"/>
      <c r="M193" s="19" t="n"/>
      <c r="N193" s="20" t="n"/>
      <c r="O193" s="23" t="n"/>
      <c r="P193" s="18">
        <f>IF(B193="","",IF(M193="",IF(L193="Карантин",INT(TODAY())-B193,""),M193-B193))</f>
        <v/>
      </c>
      <c r="Q193" s="18">
        <f>IF(C193="","",IFERROR(INDEX(Справочники!$D$6:$D$45,MATCH(C193,Справочники!$A$6:$A$45,0)),""))</f>
        <v/>
      </c>
    </row>
    <row r="194">
      <c r="A194" s="18">
        <f>IF(B194="","",ROW()-5)</f>
        <v/>
      </c>
      <c r="B194" s="19" t="n"/>
      <c r="C194" s="20" t="n"/>
      <c r="D194" s="21">
        <f>IF(C194="","",IFERROR(INDEX(Справочники!$B$6:$B$45,MATCH(C194,Справочники!$A$6:$A$45,0)),"нет в справочнике"))</f>
        <v/>
      </c>
      <c r="E194" s="20" t="n"/>
      <c r="F194" s="20" t="n"/>
      <c r="G194" s="20" t="n"/>
      <c r="H194" s="20" t="n"/>
      <c r="I194" s="18">
        <f>IF(C194="","",IFERROR(INDEX(Справочники!$C$6:$C$45,MATCH(C194,Справочники!$A$6:$A$45,0)),""))</f>
        <v/>
      </c>
      <c r="J194" s="22">
        <f>IF(C194="","",IFERROR(INDEX(Справочники!$E$6:$E$45,MATCH(C194,Справочники!$A$6:$A$45,0)),""))</f>
        <v/>
      </c>
      <c r="K194" s="23" t="n"/>
      <c r="L194" s="20" t="n"/>
      <c r="M194" s="19" t="n"/>
      <c r="N194" s="20" t="n"/>
      <c r="O194" s="23" t="n"/>
      <c r="P194" s="18">
        <f>IF(B194="","",IF(M194="",IF(L194="Карантин",INT(TODAY())-B194,""),M194-B194))</f>
        <v/>
      </c>
      <c r="Q194" s="18">
        <f>IF(C194="","",IFERROR(INDEX(Справочники!$D$6:$D$45,MATCH(C194,Справочники!$A$6:$A$45,0)),""))</f>
        <v/>
      </c>
    </row>
    <row r="195">
      <c r="A195" s="18">
        <f>IF(B195="","",ROW()-5)</f>
        <v/>
      </c>
      <c r="B195" s="19" t="n"/>
      <c r="C195" s="20" t="n"/>
      <c r="D195" s="21">
        <f>IF(C195="","",IFERROR(INDEX(Справочники!$B$6:$B$45,MATCH(C195,Справочники!$A$6:$A$45,0)),"нет в справочнике"))</f>
        <v/>
      </c>
      <c r="E195" s="20" t="n"/>
      <c r="F195" s="20" t="n"/>
      <c r="G195" s="20" t="n"/>
      <c r="H195" s="20" t="n"/>
      <c r="I195" s="18">
        <f>IF(C195="","",IFERROR(INDEX(Справочники!$C$6:$C$45,MATCH(C195,Справочники!$A$6:$A$45,0)),""))</f>
        <v/>
      </c>
      <c r="J195" s="22">
        <f>IF(C195="","",IFERROR(INDEX(Справочники!$E$6:$E$45,MATCH(C195,Справочники!$A$6:$A$45,0)),""))</f>
        <v/>
      </c>
      <c r="K195" s="23" t="n"/>
      <c r="L195" s="20" t="n"/>
      <c r="M195" s="19" t="n"/>
      <c r="N195" s="20" t="n"/>
      <c r="O195" s="23" t="n"/>
      <c r="P195" s="18">
        <f>IF(B195="","",IF(M195="",IF(L195="Карантин",INT(TODAY())-B195,""),M195-B195))</f>
        <v/>
      </c>
      <c r="Q195" s="18">
        <f>IF(C195="","",IFERROR(INDEX(Справочники!$D$6:$D$45,MATCH(C195,Справочники!$A$6:$A$45,0)),""))</f>
        <v/>
      </c>
    </row>
    <row r="196">
      <c r="A196" s="18">
        <f>IF(B196="","",ROW()-5)</f>
        <v/>
      </c>
      <c r="B196" s="19" t="n"/>
      <c r="C196" s="20" t="n"/>
      <c r="D196" s="21">
        <f>IF(C196="","",IFERROR(INDEX(Справочники!$B$6:$B$45,MATCH(C196,Справочники!$A$6:$A$45,0)),"нет в справочнике"))</f>
        <v/>
      </c>
      <c r="E196" s="20" t="n"/>
      <c r="F196" s="20" t="n"/>
      <c r="G196" s="20" t="n"/>
      <c r="H196" s="20" t="n"/>
      <c r="I196" s="18">
        <f>IF(C196="","",IFERROR(INDEX(Справочники!$C$6:$C$45,MATCH(C196,Справочники!$A$6:$A$45,0)),""))</f>
        <v/>
      </c>
      <c r="J196" s="22">
        <f>IF(C196="","",IFERROR(INDEX(Справочники!$E$6:$E$45,MATCH(C196,Справочники!$A$6:$A$45,0)),""))</f>
        <v/>
      </c>
      <c r="K196" s="23" t="n"/>
      <c r="L196" s="20" t="n"/>
      <c r="M196" s="19" t="n"/>
      <c r="N196" s="20" t="n"/>
      <c r="O196" s="23" t="n"/>
      <c r="P196" s="18">
        <f>IF(B196="","",IF(M196="",IF(L196="Карантин",INT(TODAY())-B196,""),M196-B196))</f>
        <v/>
      </c>
      <c r="Q196" s="18">
        <f>IF(C196="","",IFERROR(INDEX(Справочники!$D$6:$D$45,MATCH(C196,Справочники!$A$6:$A$45,0)),""))</f>
        <v/>
      </c>
    </row>
    <row r="197">
      <c r="A197" s="18">
        <f>IF(B197="","",ROW()-5)</f>
        <v/>
      </c>
      <c r="B197" s="19" t="n"/>
      <c r="C197" s="20" t="n"/>
      <c r="D197" s="21">
        <f>IF(C197="","",IFERROR(INDEX(Справочники!$B$6:$B$45,MATCH(C197,Справочники!$A$6:$A$45,0)),"нет в справочнике"))</f>
        <v/>
      </c>
      <c r="E197" s="20" t="n"/>
      <c r="F197" s="20" t="n"/>
      <c r="G197" s="20" t="n"/>
      <c r="H197" s="20" t="n"/>
      <c r="I197" s="18">
        <f>IF(C197="","",IFERROR(INDEX(Справочники!$C$6:$C$45,MATCH(C197,Справочники!$A$6:$A$45,0)),""))</f>
        <v/>
      </c>
      <c r="J197" s="22">
        <f>IF(C197="","",IFERROR(INDEX(Справочники!$E$6:$E$45,MATCH(C197,Справочники!$A$6:$A$45,0)),""))</f>
        <v/>
      </c>
      <c r="K197" s="23" t="n"/>
      <c r="L197" s="20" t="n"/>
      <c r="M197" s="19" t="n"/>
      <c r="N197" s="20" t="n"/>
      <c r="O197" s="23" t="n"/>
      <c r="P197" s="18">
        <f>IF(B197="","",IF(M197="",IF(L197="Карантин",INT(TODAY())-B197,""),M197-B197))</f>
        <v/>
      </c>
      <c r="Q197" s="18">
        <f>IF(C197="","",IFERROR(INDEX(Справочники!$D$6:$D$45,MATCH(C197,Справочники!$A$6:$A$45,0)),""))</f>
        <v/>
      </c>
    </row>
    <row r="198">
      <c r="A198" s="18">
        <f>IF(B198="","",ROW()-5)</f>
        <v/>
      </c>
      <c r="B198" s="19" t="n"/>
      <c r="C198" s="20" t="n"/>
      <c r="D198" s="21">
        <f>IF(C198="","",IFERROR(INDEX(Справочники!$B$6:$B$45,MATCH(C198,Справочники!$A$6:$A$45,0)),"нет в справочнике"))</f>
        <v/>
      </c>
      <c r="E198" s="20" t="n"/>
      <c r="F198" s="20" t="n"/>
      <c r="G198" s="20" t="n"/>
      <c r="H198" s="20" t="n"/>
      <c r="I198" s="18">
        <f>IF(C198="","",IFERROR(INDEX(Справочники!$C$6:$C$45,MATCH(C198,Справочники!$A$6:$A$45,0)),""))</f>
        <v/>
      </c>
      <c r="J198" s="22">
        <f>IF(C198="","",IFERROR(INDEX(Справочники!$E$6:$E$45,MATCH(C198,Справочники!$A$6:$A$45,0)),""))</f>
        <v/>
      </c>
      <c r="K198" s="23" t="n"/>
      <c r="L198" s="20" t="n"/>
      <c r="M198" s="19" t="n"/>
      <c r="N198" s="20" t="n"/>
      <c r="O198" s="23" t="n"/>
      <c r="P198" s="18">
        <f>IF(B198="","",IF(M198="",IF(L198="Карантин",INT(TODAY())-B198,""),M198-B198))</f>
        <v/>
      </c>
      <c r="Q198" s="18">
        <f>IF(C198="","",IFERROR(INDEX(Справочники!$D$6:$D$45,MATCH(C198,Справочники!$A$6:$A$45,0)),""))</f>
        <v/>
      </c>
    </row>
    <row r="199">
      <c r="A199" s="18">
        <f>IF(B199="","",ROW()-5)</f>
        <v/>
      </c>
      <c r="B199" s="19" t="n"/>
      <c r="C199" s="20" t="n"/>
      <c r="D199" s="21">
        <f>IF(C199="","",IFERROR(INDEX(Справочники!$B$6:$B$45,MATCH(C199,Справочники!$A$6:$A$45,0)),"нет в справочнике"))</f>
        <v/>
      </c>
      <c r="E199" s="20" t="n"/>
      <c r="F199" s="20" t="n"/>
      <c r="G199" s="20" t="n"/>
      <c r="H199" s="20" t="n"/>
      <c r="I199" s="18">
        <f>IF(C199="","",IFERROR(INDEX(Справочники!$C$6:$C$45,MATCH(C199,Справочники!$A$6:$A$45,0)),""))</f>
        <v/>
      </c>
      <c r="J199" s="22">
        <f>IF(C199="","",IFERROR(INDEX(Справочники!$E$6:$E$45,MATCH(C199,Справочники!$A$6:$A$45,0)),""))</f>
        <v/>
      </c>
      <c r="K199" s="23" t="n"/>
      <c r="L199" s="20" t="n"/>
      <c r="M199" s="19" t="n"/>
      <c r="N199" s="20" t="n"/>
      <c r="O199" s="23" t="n"/>
      <c r="P199" s="18">
        <f>IF(B199="","",IF(M199="",IF(L199="Карантин",INT(TODAY())-B199,""),M199-B199))</f>
        <v/>
      </c>
      <c r="Q199" s="18">
        <f>IF(C199="","",IFERROR(INDEX(Справочники!$D$6:$D$45,MATCH(C199,Справочники!$A$6:$A$45,0)),""))</f>
        <v/>
      </c>
    </row>
    <row r="200">
      <c r="A200" s="18">
        <f>IF(B200="","",ROW()-5)</f>
        <v/>
      </c>
      <c r="B200" s="19" t="n"/>
      <c r="C200" s="20" t="n"/>
      <c r="D200" s="21">
        <f>IF(C200="","",IFERROR(INDEX(Справочники!$B$6:$B$45,MATCH(C200,Справочники!$A$6:$A$45,0)),"нет в справочнике"))</f>
        <v/>
      </c>
      <c r="E200" s="20" t="n"/>
      <c r="F200" s="20" t="n"/>
      <c r="G200" s="20" t="n"/>
      <c r="H200" s="20" t="n"/>
      <c r="I200" s="18">
        <f>IF(C200="","",IFERROR(INDEX(Справочники!$C$6:$C$45,MATCH(C200,Справочники!$A$6:$A$45,0)),""))</f>
        <v/>
      </c>
      <c r="J200" s="22">
        <f>IF(C200="","",IFERROR(INDEX(Справочники!$E$6:$E$45,MATCH(C200,Справочники!$A$6:$A$45,0)),""))</f>
        <v/>
      </c>
      <c r="K200" s="23" t="n"/>
      <c r="L200" s="20" t="n"/>
      <c r="M200" s="19" t="n"/>
      <c r="N200" s="20" t="n"/>
      <c r="O200" s="23" t="n"/>
      <c r="P200" s="18">
        <f>IF(B200="","",IF(M200="",IF(L200="Карантин",INT(TODAY())-B200,""),M200-B200))</f>
        <v/>
      </c>
      <c r="Q200" s="18">
        <f>IF(C200="","",IFERROR(INDEX(Справочники!$D$6:$D$45,MATCH(C200,Справочники!$A$6:$A$45,0)),""))</f>
        <v/>
      </c>
    </row>
    <row r="201">
      <c r="A201" s="18">
        <f>IF(B201="","",ROW()-5)</f>
        <v/>
      </c>
      <c r="B201" s="19" t="n"/>
      <c r="C201" s="20" t="n"/>
      <c r="D201" s="21">
        <f>IF(C201="","",IFERROR(INDEX(Справочники!$B$6:$B$45,MATCH(C201,Справочники!$A$6:$A$45,0)),"нет в справочнике"))</f>
        <v/>
      </c>
      <c r="E201" s="20" t="n"/>
      <c r="F201" s="20" t="n"/>
      <c r="G201" s="20" t="n"/>
      <c r="H201" s="20" t="n"/>
      <c r="I201" s="18">
        <f>IF(C201="","",IFERROR(INDEX(Справочники!$C$6:$C$45,MATCH(C201,Справочники!$A$6:$A$45,0)),""))</f>
        <v/>
      </c>
      <c r="J201" s="22">
        <f>IF(C201="","",IFERROR(INDEX(Справочники!$E$6:$E$45,MATCH(C201,Справочники!$A$6:$A$45,0)),""))</f>
        <v/>
      </c>
      <c r="K201" s="23" t="n"/>
      <c r="L201" s="20" t="n"/>
      <c r="M201" s="19" t="n"/>
      <c r="N201" s="20" t="n"/>
      <c r="O201" s="23" t="n"/>
      <c r="P201" s="18">
        <f>IF(B201="","",IF(M201="",IF(L201="Карантин",INT(TODAY())-B201,""),M201-B201))</f>
        <v/>
      </c>
      <c r="Q201" s="18">
        <f>IF(C201="","",IFERROR(INDEX(Справочники!$D$6:$D$45,MATCH(C201,Справочники!$A$6:$A$45,0)),""))</f>
        <v/>
      </c>
    </row>
    <row r="202">
      <c r="A202" s="18">
        <f>IF(B202="","",ROW()-5)</f>
        <v/>
      </c>
      <c r="B202" s="19" t="n"/>
      <c r="C202" s="20" t="n"/>
      <c r="D202" s="21">
        <f>IF(C202="","",IFERROR(INDEX(Справочники!$B$6:$B$45,MATCH(C202,Справочники!$A$6:$A$45,0)),"нет в справочнике"))</f>
        <v/>
      </c>
      <c r="E202" s="20" t="n"/>
      <c r="F202" s="20" t="n"/>
      <c r="G202" s="20" t="n"/>
      <c r="H202" s="20" t="n"/>
      <c r="I202" s="18">
        <f>IF(C202="","",IFERROR(INDEX(Справочники!$C$6:$C$45,MATCH(C202,Справочники!$A$6:$A$45,0)),""))</f>
        <v/>
      </c>
      <c r="J202" s="22">
        <f>IF(C202="","",IFERROR(INDEX(Справочники!$E$6:$E$45,MATCH(C202,Справочники!$A$6:$A$45,0)),""))</f>
        <v/>
      </c>
      <c r="K202" s="23" t="n"/>
      <c r="L202" s="20" t="n"/>
      <c r="M202" s="19" t="n"/>
      <c r="N202" s="20" t="n"/>
      <c r="O202" s="23" t="n"/>
      <c r="P202" s="18">
        <f>IF(B202="","",IF(M202="",IF(L202="Карантин",INT(TODAY())-B202,""),M202-B202))</f>
        <v/>
      </c>
      <c r="Q202" s="18">
        <f>IF(C202="","",IFERROR(INDEX(Справочники!$D$6:$D$45,MATCH(C202,Справочники!$A$6:$A$45,0)),""))</f>
        <v/>
      </c>
    </row>
    <row r="203">
      <c r="A203" s="18">
        <f>IF(B203="","",ROW()-5)</f>
        <v/>
      </c>
      <c r="B203" s="19" t="n"/>
      <c r="C203" s="20" t="n"/>
      <c r="D203" s="21">
        <f>IF(C203="","",IFERROR(INDEX(Справочники!$B$6:$B$45,MATCH(C203,Справочники!$A$6:$A$45,0)),"нет в справочнике"))</f>
        <v/>
      </c>
      <c r="E203" s="20" t="n"/>
      <c r="F203" s="20" t="n"/>
      <c r="G203" s="20" t="n"/>
      <c r="H203" s="20" t="n"/>
      <c r="I203" s="18">
        <f>IF(C203="","",IFERROR(INDEX(Справочники!$C$6:$C$45,MATCH(C203,Справочники!$A$6:$A$45,0)),""))</f>
        <v/>
      </c>
      <c r="J203" s="22">
        <f>IF(C203="","",IFERROR(INDEX(Справочники!$E$6:$E$45,MATCH(C203,Справочники!$A$6:$A$45,0)),""))</f>
        <v/>
      </c>
      <c r="K203" s="23" t="n"/>
      <c r="L203" s="20" t="n"/>
      <c r="M203" s="19" t="n"/>
      <c r="N203" s="20" t="n"/>
      <c r="O203" s="23" t="n"/>
      <c r="P203" s="18">
        <f>IF(B203="","",IF(M203="",IF(L203="Карантин",INT(TODAY())-B203,""),M203-B203))</f>
        <v/>
      </c>
      <c r="Q203" s="18">
        <f>IF(C203="","",IFERROR(INDEX(Справочники!$D$6:$D$45,MATCH(C203,Справочники!$A$6:$A$45,0)),""))</f>
        <v/>
      </c>
    </row>
    <row r="204">
      <c r="A204" s="18">
        <f>IF(B204="","",ROW()-5)</f>
        <v/>
      </c>
      <c r="B204" s="19" t="n"/>
      <c r="C204" s="20" t="n"/>
      <c r="D204" s="21">
        <f>IF(C204="","",IFERROR(INDEX(Справочники!$B$6:$B$45,MATCH(C204,Справочники!$A$6:$A$45,0)),"нет в справочнике"))</f>
        <v/>
      </c>
      <c r="E204" s="20" t="n"/>
      <c r="F204" s="20" t="n"/>
      <c r="G204" s="20" t="n"/>
      <c r="H204" s="20" t="n"/>
      <c r="I204" s="18">
        <f>IF(C204="","",IFERROR(INDEX(Справочники!$C$6:$C$45,MATCH(C204,Справочники!$A$6:$A$45,0)),""))</f>
        <v/>
      </c>
      <c r="J204" s="22">
        <f>IF(C204="","",IFERROR(INDEX(Справочники!$E$6:$E$45,MATCH(C204,Справочники!$A$6:$A$45,0)),""))</f>
        <v/>
      </c>
      <c r="K204" s="23" t="n"/>
      <c r="L204" s="20" t="n"/>
      <c r="M204" s="19" t="n"/>
      <c r="N204" s="20" t="n"/>
      <c r="O204" s="23" t="n"/>
      <c r="P204" s="18">
        <f>IF(B204="","",IF(M204="",IF(L204="Карантин",INT(TODAY())-B204,""),M204-B204))</f>
        <v/>
      </c>
      <c r="Q204" s="18">
        <f>IF(C204="","",IFERROR(INDEX(Справочники!$D$6:$D$45,MATCH(C204,Справочники!$A$6:$A$45,0)),""))</f>
        <v/>
      </c>
    </row>
    <row r="205">
      <c r="A205" s="18">
        <f>IF(B205="","",ROW()-5)</f>
        <v/>
      </c>
      <c r="B205" s="19" t="n"/>
      <c r="C205" s="20" t="n"/>
      <c r="D205" s="21">
        <f>IF(C205="","",IFERROR(INDEX(Справочники!$B$6:$B$45,MATCH(C205,Справочники!$A$6:$A$45,0)),"нет в справочнике"))</f>
        <v/>
      </c>
      <c r="E205" s="20" t="n"/>
      <c r="F205" s="20" t="n"/>
      <c r="G205" s="20" t="n"/>
      <c r="H205" s="20" t="n"/>
      <c r="I205" s="18">
        <f>IF(C205="","",IFERROR(INDEX(Справочники!$C$6:$C$45,MATCH(C205,Справочники!$A$6:$A$45,0)),""))</f>
        <v/>
      </c>
      <c r="J205" s="22">
        <f>IF(C205="","",IFERROR(INDEX(Справочники!$E$6:$E$45,MATCH(C205,Справочники!$A$6:$A$45,0)),""))</f>
        <v/>
      </c>
      <c r="K205" s="23" t="n"/>
      <c r="L205" s="20" t="n"/>
      <c r="M205" s="19" t="n"/>
      <c r="N205" s="20" t="n"/>
      <c r="O205" s="23" t="n"/>
      <c r="P205" s="18">
        <f>IF(B205="","",IF(M205="",IF(L205="Карантин",INT(TODAY())-B205,""),M205-B205))</f>
        <v/>
      </c>
      <c r="Q205" s="18">
        <f>IF(C205="","",IFERROR(INDEX(Справочники!$D$6:$D$45,MATCH(C205,Справочники!$A$6:$A$45,0)),""))</f>
        <v/>
      </c>
    </row>
    <row r="206">
      <c r="A206" s="18">
        <f>IF(B206="","",ROW()-5)</f>
        <v/>
      </c>
      <c r="B206" s="19" t="n"/>
      <c r="C206" s="20" t="n"/>
      <c r="D206" s="21">
        <f>IF(C206="","",IFERROR(INDEX(Справочники!$B$6:$B$45,MATCH(C206,Справочники!$A$6:$A$45,0)),"нет в справочнике"))</f>
        <v/>
      </c>
      <c r="E206" s="20" t="n"/>
      <c r="F206" s="20" t="n"/>
      <c r="G206" s="20" t="n"/>
      <c r="H206" s="20" t="n"/>
      <c r="I206" s="18">
        <f>IF(C206="","",IFERROR(INDEX(Справочники!$C$6:$C$45,MATCH(C206,Справочники!$A$6:$A$45,0)),""))</f>
        <v/>
      </c>
      <c r="J206" s="22">
        <f>IF(C206="","",IFERROR(INDEX(Справочники!$E$6:$E$45,MATCH(C206,Справочники!$A$6:$A$45,0)),""))</f>
        <v/>
      </c>
      <c r="K206" s="23" t="n"/>
      <c r="L206" s="20" t="n"/>
      <c r="M206" s="19" t="n"/>
      <c r="N206" s="20" t="n"/>
      <c r="O206" s="23" t="n"/>
      <c r="P206" s="18">
        <f>IF(B206="","",IF(M206="",IF(L206="Карантин",INT(TODAY())-B206,""),M206-B206))</f>
        <v/>
      </c>
      <c r="Q206" s="18">
        <f>IF(C206="","",IFERROR(INDEX(Справочники!$D$6:$D$45,MATCH(C206,Справочники!$A$6:$A$45,0)),""))</f>
        <v/>
      </c>
    </row>
    <row r="207">
      <c r="A207" s="18">
        <f>IF(B207="","",ROW()-5)</f>
        <v/>
      </c>
      <c r="B207" s="19" t="n"/>
      <c r="C207" s="20" t="n"/>
      <c r="D207" s="21">
        <f>IF(C207="","",IFERROR(INDEX(Справочники!$B$6:$B$45,MATCH(C207,Справочники!$A$6:$A$45,0)),"нет в справочнике"))</f>
        <v/>
      </c>
      <c r="E207" s="20" t="n"/>
      <c r="F207" s="20" t="n"/>
      <c r="G207" s="20" t="n"/>
      <c r="H207" s="20" t="n"/>
      <c r="I207" s="18">
        <f>IF(C207="","",IFERROR(INDEX(Справочники!$C$6:$C$45,MATCH(C207,Справочники!$A$6:$A$45,0)),""))</f>
        <v/>
      </c>
      <c r="J207" s="22">
        <f>IF(C207="","",IFERROR(INDEX(Справочники!$E$6:$E$45,MATCH(C207,Справочники!$A$6:$A$45,0)),""))</f>
        <v/>
      </c>
      <c r="K207" s="23" t="n"/>
      <c r="L207" s="20" t="n"/>
      <c r="M207" s="19" t="n"/>
      <c r="N207" s="20" t="n"/>
      <c r="O207" s="23" t="n"/>
      <c r="P207" s="18">
        <f>IF(B207="","",IF(M207="",IF(L207="Карантин",INT(TODAY())-B207,""),M207-B207))</f>
        <v/>
      </c>
      <c r="Q207" s="18">
        <f>IF(C207="","",IFERROR(INDEX(Справочники!$D$6:$D$45,MATCH(C207,Справочники!$A$6:$A$45,0)),""))</f>
        <v/>
      </c>
    </row>
    <row r="208">
      <c r="A208" s="18">
        <f>IF(B208="","",ROW()-5)</f>
        <v/>
      </c>
      <c r="B208" s="19" t="n"/>
      <c r="C208" s="20" t="n"/>
      <c r="D208" s="21">
        <f>IF(C208="","",IFERROR(INDEX(Справочники!$B$6:$B$45,MATCH(C208,Справочники!$A$6:$A$45,0)),"нет в справочнике"))</f>
        <v/>
      </c>
      <c r="E208" s="20" t="n"/>
      <c r="F208" s="20" t="n"/>
      <c r="G208" s="20" t="n"/>
      <c r="H208" s="20" t="n"/>
      <c r="I208" s="18">
        <f>IF(C208="","",IFERROR(INDEX(Справочники!$C$6:$C$45,MATCH(C208,Справочники!$A$6:$A$45,0)),""))</f>
        <v/>
      </c>
      <c r="J208" s="22">
        <f>IF(C208="","",IFERROR(INDEX(Справочники!$E$6:$E$45,MATCH(C208,Справочники!$A$6:$A$45,0)),""))</f>
        <v/>
      </c>
      <c r="K208" s="23" t="n"/>
      <c r="L208" s="20" t="n"/>
      <c r="M208" s="19" t="n"/>
      <c r="N208" s="20" t="n"/>
      <c r="O208" s="23" t="n"/>
      <c r="P208" s="18">
        <f>IF(B208="","",IF(M208="",IF(L208="Карантин",INT(TODAY())-B208,""),M208-B208))</f>
        <v/>
      </c>
      <c r="Q208" s="18">
        <f>IF(C208="","",IFERROR(INDEX(Справочники!$D$6:$D$45,MATCH(C208,Справочники!$A$6:$A$45,0)),""))</f>
        <v/>
      </c>
    </row>
    <row r="209">
      <c r="A209" s="18">
        <f>IF(B209="","",ROW()-5)</f>
        <v/>
      </c>
      <c r="B209" s="19" t="n"/>
      <c r="C209" s="20" t="n"/>
      <c r="D209" s="21">
        <f>IF(C209="","",IFERROR(INDEX(Справочники!$B$6:$B$45,MATCH(C209,Справочники!$A$6:$A$45,0)),"нет в справочнике"))</f>
        <v/>
      </c>
      <c r="E209" s="20" t="n"/>
      <c r="F209" s="20" t="n"/>
      <c r="G209" s="20" t="n"/>
      <c r="H209" s="20" t="n"/>
      <c r="I209" s="18">
        <f>IF(C209="","",IFERROR(INDEX(Справочники!$C$6:$C$45,MATCH(C209,Справочники!$A$6:$A$45,0)),""))</f>
        <v/>
      </c>
      <c r="J209" s="22">
        <f>IF(C209="","",IFERROR(INDEX(Справочники!$E$6:$E$45,MATCH(C209,Справочники!$A$6:$A$45,0)),""))</f>
        <v/>
      </c>
      <c r="K209" s="23" t="n"/>
      <c r="L209" s="20" t="n"/>
      <c r="M209" s="19" t="n"/>
      <c r="N209" s="20" t="n"/>
      <c r="O209" s="23" t="n"/>
      <c r="P209" s="18">
        <f>IF(B209="","",IF(M209="",IF(L209="Карантин",INT(TODAY())-B209,""),M209-B209))</f>
        <v/>
      </c>
      <c r="Q209" s="18">
        <f>IF(C209="","",IFERROR(INDEX(Справочники!$D$6:$D$45,MATCH(C209,Справочники!$A$6:$A$45,0)),""))</f>
        <v/>
      </c>
    </row>
    <row r="210">
      <c r="A210" s="18">
        <f>IF(B210="","",ROW()-5)</f>
        <v/>
      </c>
      <c r="B210" s="19" t="n"/>
      <c r="C210" s="20" t="n"/>
      <c r="D210" s="21">
        <f>IF(C210="","",IFERROR(INDEX(Справочники!$B$6:$B$45,MATCH(C210,Справочники!$A$6:$A$45,0)),"нет в справочнике"))</f>
        <v/>
      </c>
      <c r="E210" s="20" t="n"/>
      <c r="F210" s="20" t="n"/>
      <c r="G210" s="20" t="n"/>
      <c r="H210" s="20" t="n"/>
      <c r="I210" s="18">
        <f>IF(C210="","",IFERROR(INDEX(Справочники!$C$6:$C$45,MATCH(C210,Справочники!$A$6:$A$45,0)),""))</f>
        <v/>
      </c>
      <c r="J210" s="22">
        <f>IF(C210="","",IFERROR(INDEX(Справочники!$E$6:$E$45,MATCH(C210,Справочники!$A$6:$A$45,0)),""))</f>
        <v/>
      </c>
      <c r="K210" s="23" t="n"/>
      <c r="L210" s="20" t="n"/>
      <c r="M210" s="19" t="n"/>
      <c r="N210" s="20" t="n"/>
      <c r="O210" s="23" t="n"/>
      <c r="P210" s="18">
        <f>IF(B210="","",IF(M210="",IF(L210="Карантин",INT(TODAY())-B210,""),M210-B210))</f>
        <v/>
      </c>
      <c r="Q210" s="18">
        <f>IF(C210="","",IFERROR(INDEX(Справочники!$D$6:$D$45,MATCH(C210,Справочники!$A$6:$A$45,0)),""))</f>
        <v/>
      </c>
    </row>
    <row r="211">
      <c r="A211" s="18">
        <f>IF(B211="","",ROW()-5)</f>
        <v/>
      </c>
      <c r="B211" s="19" t="n"/>
      <c r="C211" s="20" t="n"/>
      <c r="D211" s="21">
        <f>IF(C211="","",IFERROR(INDEX(Справочники!$B$6:$B$45,MATCH(C211,Справочники!$A$6:$A$45,0)),"нет в справочнике"))</f>
        <v/>
      </c>
      <c r="E211" s="20" t="n"/>
      <c r="F211" s="20" t="n"/>
      <c r="G211" s="20" t="n"/>
      <c r="H211" s="20" t="n"/>
      <c r="I211" s="18">
        <f>IF(C211="","",IFERROR(INDEX(Справочники!$C$6:$C$45,MATCH(C211,Справочники!$A$6:$A$45,0)),""))</f>
        <v/>
      </c>
      <c r="J211" s="22">
        <f>IF(C211="","",IFERROR(INDEX(Справочники!$E$6:$E$45,MATCH(C211,Справочники!$A$6:$A$45,0)),""))</f>
        <v/>
      </c>
      <c r="K211" s="23" t="n"/>
      <c r="L211" s="20" t="n"/>
      <c r="M211" s="19" t="n"/>
      <c r="N211" s="20" t="n"/>
      <c r="O211" s="23" t="n"/>
      <c r="P211" s="18">
        <f>IF(B211="","",IF(M211="",IF(L211="Карантин",INT(TODAY())-B211,""),M211-B211))</f>
        <v/>
      </c>
      <c r="Q211" s="18">
        <f>IF(C211="","",IFERROR(INDEX(Справочники!$D$6:$D$45,MATCH(C211,Справочники!$A$6:$A$45,0)),""))</f>
        <v/>
      </c>
    </row>
    <row r="212">
      <c r="A212" s="18">
        <f>IF(B212="","",ROW()-5)</f>
        <v/>
      </c>
      <c r="B212" s="19" t="n"/>
      <c r="C212" s="20" t="n"/>
      <c r="D212" s="21">
        <f>IF(C212="","",IFERROR(INDEX(Справочники!$B$6:$B$45,MATCH(C212,Справочники!$A$6:$A$45,0)),"нет в справочнике"))</f>
        <v/>
      </c>
      <c r="E212" s="20" t="n"/>
      <c r="F212" s="20" t="n"/>
      <c r="G212" s="20" t="n"/>
      <c r="H212" s="20" t="n"/>
      <c r="I212" s="18">
        <f>IF(C212="","",IFERROR(INDEX(Справочники!$C$6:$C$45,MATCH(C212,Справочники!$A$6:$A$45,0)),""))</f>
        <v/>
      </c>
      <c r="J212" s="22">
        <f>IF(C212="","",IFERROR(INDEX(Справочники!$E$6:$E$45,MATCH(C212,Справочники!$A$6:$A$45,0)),""))</f>
        <v/>
      </c>
      <c r="K212" s="23" t="n"/>
      <c r="L212" s="20" t="n"/>
      <c r="M212" s="19" t="n"/>
      <c r="N212" s="20" t="n"/>
      <c r="O212" s="23" t="n"/>
      <c r="P212" s="18">
        <f>IF(B212="","",IF(M212="",IF(L212="Карантин",INT(TODAY())-B212,""),M212-B212))</f>
        <v/>
      </c>
      <c r="Q212" s="18">
        <f>IF(C212="","",IFERROR(INDEX(Справочники!$D$6:$D$45,MATCH(C212,Справочники!$A$6:$A$45,0)),""))</f>
        <v/>
      </c>
    </row>
    <row r="213">
      <c r="A213" s="18">
        <f>IF(B213="","",ROW()-5)</f>
        <v/>
      </c>
      <c r="B213" s="19" t="n"/>
      <c r="C213" s="20" t="n"/>
      <c r="D213" s="21">
        <f>IF(C213="","",IFERROR(INDEX(Справочники!$B$6:$B$45,MATCH(C213,Справочники!$A$6:$A$45,0)),"нет в справочнике"))</f>
        <v/>
      </c>
      <c r="E213" s="20" t="n"/>
      <c r="F213" s="20" t="n"/>
      <c r="G213" s="20" t="n"/>
      <c r="H213" s="20" t="n"/>
      <c r="I213" s="18">
        <f>IF(C213="","",IFERROR(INDEX(Справочники!$C$6:$C$45,MATCH(C213,Справочники!$A$6:$A$45,0)),""))</f>
        <v/>
      </c>
      <c r="J213" s="22">
        <f>IF(C213="","",IFERROR(INDEX(Справочники!$E$6:$E$45,MATCH(C213,Справочники!$A$6:$A$45,0)),""))</f>
        <v/>
      </c>
      <c r="K213" s="23" t="n"/>
      <c r="L213" s="20" t="n"/>
      <c r="M213" s="19" t="n"/>
      <c r="N213" s="20" t="n"/>
      <c r="O213" s="23" t="n"/>
      <c r="P213" s="18">
        <f>IF(B213="","",IF(M213="",IF(L213="Карантин",INT(TODAY())-B213,""),M213-B213))</f>
        <v/>
      </c>
      <c r="Q213" s="18">
        <f>IF(C213="","",IFERROR(INDEX(Справочники!$D$6:$D$45,MATCH(C213,Справочники!$A$6:$A$45,0)),""))</f>
        <v/>
      </c>
    </row>
    <row r="214">
      <c r="A214" s="18">
        <f>IF(B214="","",ROW()-5)</f>
        <v/>
      </c>
      <c r="B214" s="19" t="n"/>
      <c r="C214" s="20" t="n"/>
      <c r="D214" s="21">
        <f>IF(C214="","",IFERROR(INDEX(Справочники!$B$6:$B$45,MATCH(C214,Справочники!$A$6:$A$45,0)),"нет в справочнике"))</f>
        <v/>
      </c>
      <c r="E214" s="20" t="n"/>
      <c r="F214" s="20" t="n"/>
      <c r="G214" s="20" t="n"/>
      <c r="H214" s="20" t="n"/>
      <c r="I214" s="18">
        <f>IF(C214="","",IFERROR(INDEX(Справочники!$C$6:$C$45,MATCH(C214,Справочники!$A$6:$A$45,0)),""))</f>
        <v/>
      </c>
      <c r="J214" s="22">
        <f>IF(C214="","",IFERROR(INDEX(Справочники!$E$6:$E$45,MATCH(C214,Справочники!$A$6:$A$45,0)),""))</f>
        <v/>
      </c>
      <c r="K214" s="23" t="n"/>
      <c r="L214" s="20" t="n"/>
      <c r="M214" s="19" t="n"/>
      <c r="N214" s="20" t="n"/>
      <c r="O214" s="23" t="n"/>
      <c r="P214" s="18">
        <f>IF(B214="","",IF(M214="",IF(L214="Карантин",INT(TODAY())-B214,""),M214-B214))</f>
        <v/>
      </c>
      <c r="Q214" s="18">
        <f>IF(C214="","",IFERROR(INDEX(Справочники!$D$6:$D$45,MATCH(C214,Справочники!$A$6:$A$45,0)),""))</f>
        <v/>
      </c>
    </row>
    <row r="215">
      <c r="A215" s="18">
        <f>IF(B215="","",ROW()-5)</f>
        <v/>
      </c>
      <c r="B215" s="19" t="n"/>
      <c r="C215" s="20" t="n"/>
      <c r="D215" s="21">
        <f>IF(C215="","",IFERROR(INDEX(Справочники!$B$6:$B$45,MATCH(C215,Справочники!$A$6:$A$45,0)),"нет в справочнике"))</f>
        <v/>
      </c>
      <c r="E215" s="20" t="n"/>
      <c r="F215" s="20" t="n"/>
      <c r="G215" s="20" t="n"/>
      <c r="H215" s="20" t="n"/>
      <c r="I215" s="18">
        <f>IF(C215="","",IFERROR(INDEX(Справочники!$C$6:$C$45,MATCH(C215,Справочники!$A$6:$A$45,0)),""))</f>
        <v/>
      </c>
      <c r="J215" s="22">
        <f>IF(C215="","",IFERROR(INDEX(Справочники!$E$6:$E$45,MATCH(C215,Справочники!$A$6:$A$45,0)),""))</f>
        <v/>
      </c>
      <c r="K215" s="23" t="n"/>
      <c r="L215" s="20" t="n"/>
      <c r="M215" s="19" t="n"/>
      <c r="N215" s="20" t="n"/>
      <c r="O215" s="23" t="n"/>
      <c r="P215" s="18">
        <f>IF(B215="","",IF(M215="",IF(L215="Карантин",INT(TODAY())-B215,""),M215-B215))</f>
        <v/>
      </c>
      <c r="Q215" s="18">
        <f>IF(C215="","",IFERROR(INDEX(Справочники!$D$6:$D$45,MATCH(C215,Справочники!$A$6:$A$45,0)),""))</f>
        <v/>
      </c>
    </row>
    <row r="216">
      <c r="A216" s="18">
        <f>IF(B216="","",ROW()-5)</f>
        <v/>
      </c>
      <c r="B216" s="19" t="n"/>
      <c r="C216" s="20" t="n"/>
      <c r="D216" s="21">
        <f>IF(C216="","",IFERROR(INDEX(Справочники!$B$6:$B$45,MATCH(C216,Справочники!$A$6:$A$45,0)),"нет в справочнике"))</f>
        <v/>
      </c>
      <c r="E216" s="20" t="n"/>
      <c r="F216" s="20" t="n"/>
      <c r="G216" s="20" t="n"/>
      <c r="H216" s="20" t="n"/>
      <c r="I216" s="18">
        <f>IF(C216="","",IFERROR(INDEX(Справочники!$C$6:$C$45,MATCH(C216,Справочники!$A$6:$A$45,0)),""))</f>
        <v/>
      </c>
      <c r="J216" s="22">
        <f>IF(C216="","",IFERROR(INDEX(Справочники!$E$6:$E$45,MATCH(C216,Справочники!$A$6:$A$45,0)),""))</f>
        <v/>
      </c>
      <c r="K216" s="23" t="n"/>
      <c r="L216" s="20" t="n"/>
      <c r="M216" s="19" t="n"/>
      <c r="N216" s="20" t="n"/>
      <c r="O216" s="23" t="n"/>
      <c r="P216" s="18">
        <f>IF(B216="","",IF(M216="",IF(L216="Карантин",INT(TODAY())-B216,""),M216-B216))</f>
        <v/>
      </c>
      <c r="Q216" s="18">
        <f>IF(C216="","",IFERROR(INDEX(Справочники!$D$6:$D$45,MATCH(C216,Справочники!$A$6:$A$45,0)),""))</f>
        <v/>
      </c>
    </row>
    <row r="217">
      <c r="A217" s="18">
        <f>IF(B217="","",ROW()-5)</f>
        <v/>
      </c>
      <c r="B217" s="19" t="n"/>
      <c r="C217" s="20" t="n"/>
      <c r="D217" s="21">
        <f>IF(C217="","",IFERROR(INDEX(Справочники!$B$6:$B$45,MATCH(C217,Справочники!$A$6:$A$45,0)),"нет в справочнике"))</f>
        <v/>
      </c>
      <c r="E217" s="20" t="n"/>
      <c r="F217" s="20" t="n"/>
      <c r="G217" s="20" t="n"/>
      <c r="H217" s="20" t="n"/>
      <c r="I217" s="18">
        <f>IF(C217="","",IFERROR(INDEX(Справочники!$C$6:$C$45,MATCH(C217,Справочники!$A$6:$A$45,0)),""))</f>
        <v/>
      </c>
      <c r="J217" s="22">
        <f>IF(C217="","",IFERROR(INDEX(Справочники!$E$6:$E$45,MATCH(C217,Справочники!$A$6:$A$45,0)),""))</f>
        <v/>
      </c>
      <c r="K217" s="23" t="n"/>
      <c r="L217" s="20" t="n"/>
      <c r="M217" s="19" t="n"/>
      <c r="N217" s="20" t="n"/>
      <c r="O217" s="23" t="n"/>
      <c r="P217" s="18">
        <f>IF(B217="","",IF(M217="",IF(L217="Карантин",INT(TODAY())-B217,""),M217-B217))</f>
        <v/>
      </c>
      <c r="Q217" s="18">
        <f>IF(C217="","",IFERROR(INDEX(Справочники!$D$6:$D$45,MATCH(C217,Справочники!$A$6:$A$45,0)),""))</f>
        <v/>
      </c>
    </row>
    <row r="218">
      <c r="A218" s="18">
        <f>IF(B218="","",ROW()-5)</f>
        <v/>
      </c>
      <c r="B218" s="19" t="n"/>
      <c r="C218" s="20" t="n"/>
      <c r="D218" s="21">
        <f>IF(C218="","",IFERROR(INDEX(Справочники!$B$6:$B$45,MATCH(C218,Справочники!$A$6:$A$45,0)),"нет в справочнике"))</f>
        <v/>
      </c>
      <c r="E218" s="20" t="n"/>
      <c r="F218" s="20" t="n"/>
      <c r="G218" s="20" t="n"/>
      <c r="H218" s="20" t="n"/>
      <c r="I218" s="18">
        <f>IF(C218="","",IFERROR(INDEX(Справочники!$C$6:$C$45,MATCH(C218,Справочники!$A$6:$A$45,0)),""))</f>
        <v/>
      </c>
      <c r="J218" s="22">
        <f>IF(C218="","",IFERROR(INDEX(Справочники!$E$6:$E$45,MATCH(C218,Справочники!$A$6:$A$45,0)),""))</f>
        <v/>
      </c>
      <c r="K218" s="23" t="n"/>
      <c r="L218" s="20" t="n"/>
      <c r="M218" s="19" t="n"/>
      <c r="N218" s="20" t="n"/>
      <c r="O218" s="23" t="n"/>
      <c r="P218" s="18">
        <f>IF(B218="","",IF(M218="",IF(L218="Карантин",INT(TODAY())-B218,""),M218-B218))</f>
        <v/>
      </c>
      <c r="Q218" s="18">
        <f>IF(C218="","",IFERROR(INDEX(Справочники!$D$6:$D$45,MATCH(C218,Справочники!$A$6:$A$45,0)),""))</f>
        <v/>
      </c>
    </row>
    <row r="219">
      <c r="A219" s="18">
        <f>IF(B219="","",ROW()-5)</f>
        <v/>
      </c>
      <c r="B219" s="19" t="n"/>
      <c r="C219" s="20" t="n"/>
      <c r="D219" s="21">
        <f>IF(C219="","",IFERROR(INDEX(Справочники!$B$6:$B$45,MATCH(C219,Справочники!$A$6:$A$45,0)),"нет в справочнике"))</f>
        <v/>
      </c>
      <c r="E219" s="20" t="n"/>
      <c r="F219" s="20" t="n"/>
      <c r="G219" s="20" t="n"/>
      <c r="H219" s="20" t="n"/>
      <c r="I219" s="18">
        <f>IF(C219="","",IFERROR(INDEX(Справочники!$C$6:$C$45,MATCH(C219,Справочники!$A$6:$A$45,0)),""))</f>
        <v/>
      </c>
      <c r="J219" s="22">
        <f>IF(C219="","",IFERROR(INDEX(Справочники!$E$6:$E$45,MATCH(C219,Справочники!$A$6:$A$45,0)),""))</f>
        <v/>
      </c>
      <c r="K219" s="23" t="n"/>
      <c r="L219" s="20" t="n"/>
      <c r="M219" s="19" t="n"/>
      <c r="N219" s="20" t="n"/>
      <c r="O219" s="23" t="n"/>
      <c r="P219" s="18">
        <f>IF(B219="","",IF(M219="",IF(L219="Карантин",INT(TODAY())-B219,""),M219-B219))</f>
        <v/>
      </c>
      <c r="Q219" s="18">
        <f>IF(C219="","",IFERROR(INDEX(Справочники!$D$6:$D$45,MATCH(C219,Справочники!$A$6:$A$45,0)),""))</f>
        <v/>
      </c>
    </row>
    <row r="220">
      <c r="A220" s="18">
        <f>IF(B220="","",ROW()-5)</f>
        <v/>
      </c>
      <c r="B220" s="19" t="n"/>
      <c r="C220" s="20" t="n"/>
      <c r="D220" s="21">
        <f>IF(C220="","",IFERROR(INDEX(Справочники!$B$6:$B$45,MATCH(C220,Справочники!$A$6:$A$45,0)),"нет в справочнике"))</f>
        <v/>
      </c>
      <c r="E220" s="20" t="n"/>
      <c r="F220" s="20" t="n"/>
      <c r="G220" s="20" t="n"/>
      <c r="H220" s="20" t="n"/>
      <c r="I220" s="18">
        <f>IF(C220="","",IFERROR(INDEX(Справочники!$C$6:$C$45,MATCH(C220,Справочники!$A$6:$A$45,0)),""))</f>
        <v/>
      </c>
      <c r="J220" s="22">
        <f>IF(C220="","",IFERROR(INDEX(Справочники!$E$6:$E$45,MATCH(C220,Справочники!$A$6:$A$45,0)),""))</f>
        <v/>
      </c>
      <c r="K220" s="23" t="n"/>
      <c r="L220" s="20" t="n"/>
      <c r="M220" s="19" t="n"/>
      <c r="N220" s="20" t="n"/>
      <c r="O220" s="23" t="n"/>
      <c r="P220" s="18">
        <f>IF(B220="","",IF(M220="",IF(L220="Карантин",INT(TODAY())-B220,""),M220-B220))</f>
        <v/>
      </c>
      <c r="Q220" s="18">
        <f>IF(C220="","",IFERROR(INDEX(Справочники!$D$6:$D$45,MATCH(C220,Справочники!$A$6:$A$45,0)),""))</f>
        <v/>
      </c>
    </row>
    <row r="221">
      <c r="A221" s="18">
        <f>IF(B221="","",ROW()-5)</f>
        <v/>
      </c>
      <c r="B221" s="19" t="n"/>
      <c r="C221" s="20" t="n"/>
      <c r="D221" s="21">
        <f>IF(C221="","",IFERROR(INDEX(Справочники!$B$6:$B$45,MATCH(C221,Справочники!$A$6:$A$45,0)),"нет в справочнике"))</f>
        <v/>
      </c>
      <c r="E221" s="20" t="n"/>
      <c r="F221" s="20" t="n"/>
      <c r="G221" s="20" t="n"/>
      <c r="H221" s="20" t="n"/>
      <c r="I221" s="18">
        <f>IF(C221="","",IFERROR(INDEX(Справочники!$C$6:$C$45,MATCH(C221,Справочники!$A$6:$A$45,0)),""))</f>
        <v/>
      </c>
      <c r="J221" s="22">
        <f>IF(C221="","",IFERROR(INDEX(Справочники!$E$6:$E$45,MATCH(C221,Справочники!$A$6:$A$45,0)),""))</f>
        <v/>
      </c>
      <c r="K221" s="23" t="n"/>
      <c r="L221" s="20" t="n"/>
      <c r="M221" s="19" t="n"/>
      <c r="N221" s="20" t="n"/>
      <c r="O221" s="23" t="n"/>
      <c r="P221" s="18">
        <f>IF(B221="","",IF(M221="",IF(L221="Карантин",INT(TODAY())-B221,""),M221-B221))</f>
        <v/>
      </c>
      <c r="Q221" s="18">
        <f>IF(C221="","",IFERROR(INDEX(Справочники!$D$6:$D$45,MATCH(C221,Справочники!$A$6:$A$45,0)),""))</f>
        <v/>
      </c>
    </row>
    <row r="222">
      <c r="A222" s="18">
        <f>IF(B222="","",ROW()-5)</f>
        <v/>
      </c>
      <c r="B222" s="19" t="n"/>
      <c r="C222" s="20" t="n"/>
      <c r="D222" s="21">
        <f>IF(C222="","",IFERROR(INDEX(Справочники!$B$6:$B$45,MATCH(C222,Справочники!$A$6:$A$45,0)),"нет в справочнике"))</f>
        <v/>
      </c>
      <c r="E222" s="20" t="n"/>
      <c r="F222" s="20" t="n"/>
      <c r="G222" s="20" t="n"/>
      <c r="H222" s="20" t="n"/>
      <c r="I222" s="18">
        <f>IF(C222="","",IFERROR(INDEX(Справочники!$C$6:$C$45,MATCH(C222,Справочники!$A$6:$A$45,0)),""))</f>
        <v/>
      </c>
      <c r="J222" s="22">
        <f>IF(C222="","",IFERROR(INDEX(Справочники!$E$6:$E$45,MATCH(C222,Справочники!$A$6:$A$45,0)),""))</f>
        <v/>
      </c>
      <c r="K222" s="23" t="n"/>
      <c r="L222" s="20" t="n"/>
      <c r="M222" s="19" t="n"/>
      <c r="N222" s="20" t="n"/>
      <c r="O222" s="23" t="n"/>
      <c r="P222" s="18">
        <f>IF(B222="","",IF(M222="",IF(L222="Карантин",INT(TODAY())-B222,""),M222-B222))</f>
        <v/>
      </c>
      <c r="Q222" s="18">
        <f>IF(C222="","",IFERROR(INDEX(Справочники!$D$6:$D$45,MATCH(C222,Справочники!$A$6:$A$45,0)),""))</f>
        <v/>
      </c>
    </row>
    <row r="223">
      <c r="A223" s="18">
        <f>IF(B223="","",ROW()-5)</f>
        <v/>
      </c>
      <c r="B223" s="19" t="n"/>
      <c r="C223" s="20" t="n"/>
      <c r="D223" s="21">
        <f>IF(C223="","",IFERROR(INDEX(Справочники!$B$6:$B$45,MATCH(C223,Справочники!$A$6:$A$45,0)),"нет в справочнике"))</f>
        <v/>
      </c>
      <c r="E223" s="20" t="n"/>
      <c r="F223" s="20" t="n"/>
      <c r="G223" s="20" t="n"/>
      <c r="H223" s="20" t="n"/>
      <c r="I223" s="18">
        <f>IF(C223="","",IFERROR(INDEX(Справочники!$C$6:$C$45,MATCH(C223,Справочники!$A$6:$A$45,0)),""))</f>
        <v/>
      </c>
      <c r="J223" s="22">
        <f>IF(C223="","",IFERROR(INDEX(Справочники!$E$6:$E$45,MATCH(C223,Справочники!$A$6:$A$45,0)),""))</f>
        <v/>
      </c>
      <c r="K223" s="23" t="n"/>
      <c r="L223" s="20" t="n"/>
      <c r="M223" s="19" t="n"/>
      <c r="N223" s="20" t="n"/>
      <c r="O223" s="23" t="n"/>
      <c r="P223" s="18">
        <f>IF(B223="","",IF(M223="",IF(L223="Карантин",INT(TODAY())-B223,""),M223-B223))</f>
        <v/>
      </c>
      <c r="Q223" s="18">
        <f>IF(C223="","",IFERROR(INDEX(Справочники!$D$6:$D$45,MATCH(C223,Справочники!$A$6:$A$45,0)),""))</f>
        <v/>
      </c>
    </row>
    <row r="224">
      <c r="A224" s="18">
        <f>IF(B224="","",ROW()-5)</f>
        <v/>
      </c>
      <c r="B224" s="19" t="n"/>
      <c r="C224" s="20" t="n"/>
      <c r="D224" s="21">
        <f>IF(C224="","",IFERROR(INDEX(Справочники!$B$6:$B$45,MATCH(C224,Справочники!$A$6:$A$45,0)),"нет в справочнике"))</f>
        <v/>
      </c>
      <c r="E224" s="20" t="n"/>
      <c r="F224" s="20" t="n"/>
      <c r="G224" s="20" t="n"/>
      <c r="H224" s="20" t="n"/>
      <c r="I224" s="18">
        <f>IF(C224="","",IFERROR(INDEX(Справочники!$C$6:$C$45,MATCH(C224,Справочники!$A$6:$A$45,0)),""))</f>
        <v/>
      </c>
      <c r="J224" s="22">
        <f>IF(C224="","",IFERROR(INDEX(Справочники!$E$6:$E$45,MATCH(C224,Справочники!$A$6:$A$45,0)),""))</f>
        <v/>
      </c>
      <c r="K224" s="23" t="n"/>
      <c r="L224" s="20" t="n"/>
      <c r="M224" s="19" t="n"/>
      <c r="N224" s="20" t="n"/>
      <c r="O224" s="23" t="n"/>
      <c r="P224" s="18">
        <f>IF(B224="","",IF(M224="",IF(L224="Карантин",INT(TODAY())-B224,""),M224-B224))</f>
        <v/>
      </c>
      <c r="Q224" s="18">
        <f>IF(C224="","",IFERROR(INDEX(Справочники!$D$6:$D$45,MATCH(C224,Справочники!$A$6:$A$45,0)),""))</f>
        <v/>
      </c>
    </row>
    <row r="225">
      <c r="A225" s="18">
        <f>IF(B225="","",ROW()-5)</f>
        <v/>
      </c>
      <c r="B225" s="19" t="n"/>
      <c r="C225" s="20" t="n"/>
      <c r="D225" s="21">
        <f>IF(C225="","",IFERROR(INDEX(Справочники!$B$6:$B$45,MATCH(C225,Справочники!$A$6:$A$45,0)),"нет в справочнике"))</f>
        <v/>
      </c>
      <c r="E225" s="20" t="n"/>
      <c r="F225" s="20" t="n"/>
      <c r="G225" s="20" t="n"/>
      <c r="H225" s="20" t="n"/>
      <c r="I225" s="18">
        <f>IF(C225="","",IFERROR(INDEX(Справочники!$C$6:$C$45,MATCH(C225,Справочники!$A$6:$A$45,0)),""))</f>
        <v/>
      </c>
      <c r="J225" s="22">
        <f>IF(C225="","",IFERROR(INDEX(Справочники!$E$6:$E$45,MATCH(C225,Справочники!$A$6:$A$45,0)),""))</f>
        <v/>
      </c>
      <c r="K225" s="23" t="n"/>
      <c r="L225" s="20" t="n"/>
      <c r="M225" s="19" t="n"/>
      <c r="N225" s="20" t="n"/>
      <c r="O225" s="23" t="n"/>
      <c r="P225" s="18">
        <f>IF(B225="","",IF(M225="",IF(L225="Карантин",INT(TODAY())-B225,""),M225-B225))</f>
        <v/>
      </c>
      <c r="Q225" s="18">
        <f>IF(C225="","",IFERROR(INDEX(Справочники!$D$6:$D$45,MATCH(C225,Справочники!$A$6:$A$45,0)),""))</f>
        <v/>
      </c>
    </row>
    <row r="226">
      <c r="A226" s="18">
        <f>IF(B226="","",ROW()-5)</f>
        <v/>
      </c>
      <c r="B226" s="19" t="n"/>
      <c r="C226" s="20" t="n"/>
      <c r="D226" s="21">
        <f>IF(C226="","",IFERROR(INDEX(Справочники!$B$6:$B$45,MATCH(C226,Справочники!$A$6:$A$45,0)),"нет в справочнике"))</f>
        <v/>
      </c>
      <c r="E226" s="20" t="n"/>
      <c r="F226" s="20" t="n"/>
      <c r="G226" s="20" t="n"/>
      <c r="H226" s="20" t="n"/>
      <c r="I226" s="18">
        <f>IF(C226="","",IFERROR(INDEX(Справочники!$C$6:$C$45,MATCH(C226,Справочники!$A$6:$A$45,0)),""))</f>
        <v/>
      </c>
      <c r="J226" s="22">
        <f>IF(C226="","",IFERROR(INDEX(Справочники!$E$6:$E$45,MATCH(C226,Справочники!$A$6:$A$45,0)),""))</f>
        <v/>
      </c>
      <c r="K226" s="23" t="n"/>
      <c r="L226" s="20" t="n"/>
      <c r="M226" s="19" t="n"/>
      <c r="N226" s="20" t="n"/>
      <c r="O226" s="23" t="n"/>
      <c r="P226" s="18">
        <f>IF(B226="","",IF(M226="",IF(L226="Карантин",INT(TODAY())-B226,""),M226-B226))</f>
        <v/>
      </c>
      <c r="Q226" s="18">
        <f>IF(C226="","",IFERROR(INDEX(Справочники!$D$6:$D$45,MATCH(C226,Справочники!$A$6:$A$45,0)),""))</f>
        <v/>
      </c>
    </row>
    <row r="227">
      <c r="A227" s="18">
        <f>IF(B227="","",ROW()-5)</f>
        <v/>
      </c>
      <c r="B227" s="19" t="n"/>
      <c r="C227" s="20" t="n"/>
      <c r="D227" s="21">
        <f>IF(C227="","",IFERROR(INDEX(Справочники!$B$6:$B$45,MATCH(C227,Справочники!$A$6:$A$45,0)),"нет в справочнике"))</f>
        <v/>
      </c>
      <c r="E227" s="20" t="n"/>
      <c r="F227" s="20" t="n"/>
      <c r="G227" s="20" t="n"/>
      <c r="H227" s="20" t="n"/>
      <c r="I227" s="18">
        <f>IF(C227="","",IFERROR(INDEX(Справочники!$C$6:$C$45,MATCH(C227,Справочники!$A$6:$A$45,0)),""))</f>
        <v/>
      </c>
      <c r="J227" s="22">
        <f>IF(C227="","",IFERROR(INDEX(Справочники!$E$6:$E$45,MATCH(C227,Справочники!$A$6:$A$45,0)),""))</f>
        <v/>
      </c>
      <c r="K227" s="23" t="n"/>
      <c r="L227" s="20" t="n"/>
      <c r="M227" s="19" t="n"/>
      <c r="N227" s="20" t="n"/>
      <c r="O227" s="23" t="n"/>
      <c r="P227" s="18">
        <f>IF(B227="","",IF(M227="",IF(L227="Карантин",INT(TODAY())-B227,""),M227-B227))</f>
        <v/>
      </c>
      <c r="Q227" s="18">
        <f>IF(C227="","",IFERROR(INDEX(Справочники!$D$6:$D$45,MATCH(C227,Справочники!$A$6:$A$45,0)),""))</f>
        <v/>
      </c>
    </row>
    <row r="228">
      <c r="A228" s="18">
        <f>IF(B228="","",ROW()-5)</f>
        <v/>
      </c>
      <c r="B228" s="19" t="n"/>
      <c r="C228" s="20" t="n"/>
      <c r="D228" s="21">
        <f>IF(C228="","",IFERROR(INDEX(Справочники!$B$6:$B$45,MATCH(C228,Справочники!$A$6:$A$45,0)),"нет в справочнике"))</f>
        <v/>
      </c>
      <c r="E228" s="20" t="n"/>
      <c r="F228" s="20" t="n"/>
      <c r="G228" s="20" t="n"/>
      <c r="H228" s="20" t="n"/>
      <c r="I228" s="18">
        <f>IF(C228="","",IFERROR(INDEX(Справочники!$C$6:$C$45,MATCH(C228,Справочники!$A$6:$A$45,0)),""))</f>
        <v/>
      </c>
      <c r="J228" s="22">
        <f>IF(C228="","",IFERROR(INDEX(Справочники!$E$6:$E$45,MATCH(C228,Справочники!$A$6:$A$45,0)),""))</f>
        <v/>
      </c>
      <c r="K228" s="23" t="n"/>
      <c r="L228" s="20" t="n"/>
      <c r="M228" s="19" t="n"/>
      <c r="N228" s="20" t="n"/>
      <c r="O228" s="23" t="n"/>
      <c r="P228" s="18">
        <f>IF(B228="","",IF(M228="",IF(L228="Карантин",INT(TODAY())-B228,""),M228-B228))</f>
        <v/>
      </c>
      <c r="Q228" s="18">
        <f>IF(C228="","",IFERROR(INDEX(Справочники!$D$6:$D$45,MATCH(C228,Справочники!$A$6:$A$45,0)),""))</f>
        <v/>
      </c>
    </row>
    <row r="229">
      <c r="A229" s="18">
        <f>IF(B229="","",ROW()-5)</f>
        <v/>
      </c>
      <c r="B229" s="19" t="n"/>
      <c r="C229" s="20" t="n"/>
      <c r="D229" s="21">
        <f>IF(C229="","",IFERROR(INDEX(Справочники!$B$6:$B$45,MATCH(C229,Справочники!$A$6:$A$45,0)),"нет в справочнике"))</f>
        <v/>
      </c>
      <c r="E229" s="20" t="n"/>
      <c r="F229" s="20" t="n"/>
      <c r="G229" s="20" t="n"/>
      <c r="H229" s="20" t="n"/>
      <c r="I229" s="18">
        <f>IF(C229="","",IFERROR(INDEX(Справочники!$C$6:$C$45,MATCH(C229,Справочники!$A$6:$A$45,0)),""))</f>
        <v/>
      </c>
      <c r="J229" s="22">
        <f>IF(C229="","",IFERROR(INDEX(Справочники!$E$6:$E$45,MATCH(C229,Справочники!$A$6:$A$45,0)),""))</f>
        <v/>
      </c>
      <c r="K229" s="23" t="n"/>
      <c r="L229" s="20" t="n"/>
      <c r="M229" s="19" t="n"/>
      <c r="N229" s="20" t="n"/>
      <c r="O229" s="23" t="n"/>
      <c r="P229" s="18">
        <f>IF(B229="","",IF(M229="",IF(L229="Карантин",INT(TODAY())-B229,""),M229-B229))</f>
        <v/>
      </c>
      <c r="Q229" s="18">
        <f>IF(C229="","",IFERROR(INDEX(Справочники!$D$6:$D$45,MATCH(C229,Справочники!$A$6:$A$45,0)),""))</f>
        <v/>
      </c>
    </row>
    <row r="230">
      <c r="A230" s="18">
        <f>IF(B230="","",ROW()-5)</f>
        <v/>
      </c>
      <c r="B230" s="19" t="n"/>
      <c r="C230" s="20" t="n"/>
      <c r="D230" s="21">
        <f>IF(C230="","",IFERROR(INDEX(Справочники!$B$6:$B$45,MATCH(C230,Справочники!$A$6:$A$45,0)),"нет в справочнике"))</f>
        <v/>
      </c>
      <c r="E230" s="20" t="n"/>
      <c r="F230" s="20" t="n"/>
      <c r="G230" s="20" t="n"/>
      <c r="H230" s="20" t="n"/>
      <c r="I230" s="18">
        <f>IF(C230="","",IFERROR(INDEX(Справочники!$C$6:$C$45,MATCH(C230,Справочники!$A$6:$A$45,0)),""))</f>
        <v/>
      </c>
      <c r="J230" s="22">
        <f>IF(C230="","",IFERROR(INDEX(Справочники!$E$6:$E$45,MATCH(C230,Справочники!$A$6:$A$45,0)),""))</f>
        <v/>
      </c>
      <c r="K230" s="23" t="n"/>
      <c r="L230" s="20" t="n"/>
      <c r="M230" s="19" t="n"/>
      <c r="N230" s="20" t="n"/>
      <c r="O230" s="23" t="n"/>
      <c r="P230" s="18">
        <f>IF(B230="","",IF(M230="",IF(L230="Карантин",INT(TODAY())-B230,""),M230-B230))</f>
        <v/>
      </c>
      <c r="Q230" s="18">
        <f>IF(C230="","",IFERROR(INDEX(Справочники!$D$6:$D$45,MATCH(C230,Справочники!$A$6:$A$45,0)),""))</f>
        <v/>
      </c>
    </row>
    <row r="231">
      <c r="A231" s="18">
        <f>IF(B231="","",ROW()-5)</f>
        <v/>
      </c>
      <c r="B231" s="19" t="n"/>
      <c r="C231" s="20" t="n"/>
      <c r="D231" s="21">
        <f>IF(C231="","",IFERROR(INDEX(Справочники!$B$6:$B$45,MATCH(C231,Справочники!$A$6:$A$45,0)),"нет в справочнике"))</f>
        <v/>
      </c>
      <c r="E231" s="20" t="n"/>
      <c r="F231" s="20" t="n"/>
      <c r="G231" s="20" t="n"/>
      <c r="H231" s="20" t="n"/>
      <c r="I231" s="18">
        <f>IF(C231="","",IFERROR(INDEX(Справочники!$C$6:$C$45,MATCH(C231,Справочники!$A$6:$A$45,0)),""))</f>
        <v/>
      </c>
      <c r="J231" s="22">
        <f>IF(C231="","",IFERROR(INDEX(Справочники!$E$6:$E$45,MATCH(C231,Справочники!$A$6:$A$45,0)),""))</f>
        <v/>
      </c>
      <c r="K231" s="23" t="n"/>
      <c r="L231" s="20" t="n"/>
      <c r="M231" s="19" t="n"/>
      <c r="N231" s="20" t="n"/>
      <c r="O231" s="23" t="n"/>
      <c r="P231" s="18">
        <f>IF(B231="","",IF(M231="",IF(L231="Карантин",INT(TODAY())-B231,""),M231-B231))</f>
        <v/>
      </c>
      <c r="Q231" s="18">
        <f>IF(C231="","",IFERROR(INDEX(Справочники!$D$6:$D$45,MATCH(C231,Справочники!$A$6:$A$45,0)),""))</f>
        <v/>
      </c>
    </row>
    <row r="232">
      <c r="A232" s="18">
        <f>IF(B232="","",ROW()-5)</f>
        <v/>
      </c>
      <c r="B232" s="19" t="n"/>
      <c r="C232" s="20" t="n"/>
      <c r="D232" s="21">
        <f>IF(C232="","",IFERROR(INDEX(Справочники!$B$6:$B$45,MATCH(C232,Справочники!$A$6:$A$45,0)),"нет в справочнике"))</f>
        <v/>
      </c>
      <c r="E232" s="20" t="n"/>
      <c r="F232" s="20" t="n"/>
      <c r="G232" s="20" t="n"/>
      <c r="H232" s="20" t="n"/>
      <c r="I232" s="18">
        <f>IF(C232="","",IFERROR(INDEX(Справочники!$C$6:$C$45,MATCH(C232,Справочники!$A$6:$A$45,0)),""))</f>
        <v/>
      </c>
      <c r="J232" s="22">
        <f>IF(C232="","",IFERROR(INDEX(Справочники!$E$6:$E$45,MATCH(C232,Справочники!$A$6:$A$45,0)),""))</f>
        <v/>
      </c>
      <c r="K232" s="23" t="n"/>
      <c r="L232" s="20" t="n"/>
      <c r="M232" s="19" t="n"/>
      <c r="N232" s="20" t="n"/>
      <c r="O232" s="23" t="n"/>
      <c r="P232" s="18">
        <f>IF(B232="","",IF(M232="",IF(L232="Карантин",INT(TODAY())-B232,""),M232-B232))</f>
        <v/>
      </c>
      <c r="Q232" s="18">
        <f>IF(C232="","",IFERROR(INDEX(Справочники!$D$6:$D$45,MATCH(C232,Справочники!$A$6:$A$45,0)),""))</f>
        <v/>
      </c>
    </row>
    <row r="233">
      <c r="A233" s="18">
        <f>IF(B233="","",ROW()-5)</f>
        <v/>
      </c>
      <c r="B233" s="19" t="n"/>
      <c r="C233" s="20" t="n"/>
      <c r="D233" s="21">
        <f>IF(C233="","",IFERROR(INDEX(Справочники!$B$6:$B$45,MATCH(C233,Справочники!$A$6:$A$45,0)),"нет в справочнике"))</f>
        <v/>
      </c>
      <c r="E233" s="20" t="n"/>
      <c r="F233" s="20" t="n"/>
      <c r="G233" s="20" t="n"/>
      <c r="H233" s="20" t="n"/>
      <c r="I233" s="18">
        <f>IF(C233="","",IFERROR(INDEX(Справочники!$C$6:$C$45,MATCH(C233,Справочники!$A$6:$A$45,0)),""))</f>
        <v/>
      </c>
      <c r="J233" s="22">
        <f>IF(C233="","",IFERROR(INDEX(Справочники!$E$6:$E$45,MATCH(C233,Справочники!$A$6:$A$45,0)),""))</f>
        <v/>
      </c>
      <c r="K233" s="23" t="n"/>
      <c r="L233" s="20" t="n"/>
      <c r="M233" s="19" t="n"/>
      <c r="N233" s="20" t="n"/>
      <c r="O233" s="23" t="n"/>
      <c r="P233" s="18">
        <f>IF(B233="","",IF(M233="",IF(L233="Карантин",INT(TODAY())-B233,""),M233-B233))</f>
        <v/>
      </c>
      <c r="Q233" s="18">
        <f>IF(C233="","",IFERROR(INDEX(Справочники!$D$6:$D$45,MATCH(C233,Справочники!$A$6:$A$45,0)),""))</f>
        <v/>
      </c>
    </row>
    <row r="234">
      <c r="A234" s="18">
        <f>IF(B234="","",ROW()-5)</f>
        <v/>
      </c>
      <c r="B234" s="19" t="n"/>
      <c r="C234" s="20" t="n"/>
      <c r="D234" s="21">
        <f>IF(C234="","",IFERROR(INDEX(Справочники!$B$6:$B$45,MATCH(C234,Справочники!$A$6:$A$45,0)),"нет в справочнике"))</f>
        <v/>
      </c>
      <c r="E234" s="20" t="n"/>
      <c r="F234" s="20" t="n"/>
      <c r="G234" s="20" t="n"/>
      <c r="H234" s="20" t="n"/>
      <c r="I234" s="18">
        <f>IF(C234="","",IFERROR(INDEX(Справочники!$C$6:$C$45,MATCH(C234,Справочники!$A$6:$A$45,0)),""))</f>
        <v/>
      </c>
      <c r="J234" s="22">
        <f>IF(C234="","",IFERROR(INDEX(Справочники!$E$6:$E$45,MATCH(C234,Справочники!$A$6:$A$45,0)),""))</f>
        <v/>
      </c>
      <c r="K234" s="23" t="n"/>
      <c r="L234" s="20" t="n"/>
      <c r="M234" s="19" t="n"/>
      <c r="N234" s="20" t="n"/>
      <c r="O234" s="23" t="n"/>
      <c r="P234" s="18">
        <f>IF(B234="","",IF(M234="",IF(L234="Карантин",INT(TODAY())-B234,""),M234-B234))</f>
        <v/>
      </c>
      <c r="Q234" s="18">
        <f>IF(C234="","",IFERROR(INDEX(Справочники!$D$6:$D$45,MATCH(C234,Справочники!$A$6:$A$45,0)),""))</f>
        <v/>
      </c>
    </row>
    <row r="235">
      <c r="A235" s="18">
        <f>IF(B235="","",ROW()-5)</f>
        <v/>
      </c>
      <c r="B235" s="19" t="n"/>
      <c r="C235" s="20" t="n"/>
      <c r="D235" s="21">
        <f>IF(C235="","",IFERROR(INDEX(Справочники!$B$6:$B$45,MATCH(C235,Справочники!$A$6:$A$45,0)),"нет в справочнике"))</f>
        <v/>
      </c>
      <c r="E235" s="20" t="n"/>
      <c r="F235" s="20" t="n"/>
      <c r="G235" s="20" t="n"/>
      <c r="H235" s="20" t="n"/>
      <c r="I235" s="18">
        <f>IF(C235="","",IFERROR(INDEX(Справочники!$C$6:$C$45,MATCH(C235,Справочники!$A$6:$A$45,0)),""))</f>
        <v/>
      </c>
      <c r="J235" s="22">
        <f>IF(C235="","",IFERROR(INDEX(Справочники!$E$6:$E$45,MATCH(C235,Справочники!$A$6:$A$45,0)),""))</f>
        <v/>
      </c>
      <c r="K235" s="23" t="n"/>
      <c r="L235" s="20" t="n"/>
      <c r="M235" s="19" t="n"/>
      <c r="N235" s="20" t="n"/>
      <c r="O235" s="23" t="n"/>
      <c r="P235" s="18">
        <f>IF(B235="","",IF(M235="",IF(L235="Карантин",INT(TODAY())-B235,""),M235-B235))</f>
        <v/>
      </c>
      <c r="Q235" s="18">
        <f>IF(C235="","",IFERROR(INDEX(Справочники!$D$6:$D$45,MATCH(C235,Справочники!$A$6:$A$45,0)),""))</f>
        <v/>
      </c>
    </row>
    <row r="236">
      <c r="A236" s="18">
        <f>IF(B236="","",ROW()-5)</f>
        <v/>
      </c>
      <c r="B236" s="19" t="n"/>
      <c r="C236" s="20" t="n"/>
      <c r="D236" s="21">
        <f>IF(C236="","",IFERROR(INDEX(Справочники!$B$6:$B$45,MATCH(C236,Справочники!$A$6:$A$45,0)),"нет в справочнике"))</f>
        <v/>
      </c>
      <c r="E236" s="20" t="n"/>
      <c r="F236" s="20" t="n"/>
      <c r="G236" s="20" t="n"/>
      <c r="H236" s="20" t="n"/>
      <c r="I236" s="18">
        <f>IF(C236="","",IFERROR(INDEX(Справочники!$C$6:$C$45,MATCH(C236,Справочники!$A$6:$A$45,0)),""))</f>
        <v/>
      </c>
      <c r="J236" s="22">
        <f>IF(C236="","",IFERROR(INDEX(Справочники!$E$6:$E$45,MATCH(C236,Справочники!$A$6:$A$45,0)),""))</f>
        <v/>
      </c>
      <c r="K236" s="23" t="n"/>
      <c r="L236" s="20" t="n"/>
      <c r="M236" s="19" t="n"/>
      <c r="N236" s="20" t="n"/>
      <c r="O236" s="23" t="n"/>
      <c r="P236" s="18">
        <f>IF(B236="","",IF(M236="",IF(L236="Карантин",INT(TODAY())-B236,""),M236-B236))</f>
        <v/>
      </c>
      <c r="Q236" s="18">
        <f>IF(C236="","",IFERROR(INDEX(Справочники!$D$6:$D$45,MATCH(C236,Справочники!$A$6:$A$45,0)),""))</f>
        <v/>
      </c>
    </row>
    <row r="237">
      <c r="A237" s="18">
        <f>IF(B237="","",ROW()-5)</f>
        <v/>
      </c>
      <c r="B237" s="19" t="n"/>
      <c r="C237" s="20" t="n"/>
      <c r="D237" s="21">
        <f>IF(C237="","",IFERROR(INDEX(Справочники!$B$6:$B$45,MATCH(C237,Справочники!$A$6:$A$45,0)),"нет в справочнике"))</f>
        <v/>
      </c>
      <c r="E237" s="20" t="n"/>
      <c r="F237" s="20" t="n"/>
      <c r="G237" s="20" t="n"/>
      <c r="H237" s="20" t="n"/>
      <c r="I237" s="18">
        <f>IF(C237="","",IFERROR(INDEX(Справочники!$C$6:$C$45,MATCH(C237,Справочники!$A$6:$A$45,0)),""))</f>
        <v/>
      </c>
      <c r="J237" s="22">
        <f>IF(C237="","",IFERROR(INDEX(Справочники!$E$6:$E$45,MATCH(C237,Справочники!$A$6:$A$45,0)),""))</f>
        <v/>
      </c>
      <c r="K237" s="23" t="n"/>
      <c r="L237" s="20" t="n"/>
      <c r="M237" s="19" t="n"/>
      <c r="N237" s="20" t="n"/>
      <c r="O237" s="23" t="n"/>
      <c r="P237" s="18">
        <f>IF(B237="","",IF(M237="",IF(L237="Карантин",INT(TODAY())-B237,""),M237-B237))</f>
        <v/>
      </c>
      <c r="Q237" s="18">
        <f>IF(C237="","",IFERROR(INDEX(Справочники!$D$6:$D$45,MATCH(C237,Справочники!$A$6:$A$45,0)),""))</f>
        <v/>
      </c>
    </row>
    <row r="238">
      <c r="A238" s="18">
        <f>IF(B238="","",ROW()-5)</f>
        <v/>
      </c>
      <c r="B238" s="19" t="n"/>
      <c r="C238" s="20" t="n"/>
      <c r="D238" s="21">
        <f>IF(C238="","",IFERROR(INDEX(Справочники!$B$6:$B$45,MATCH(C238,Справочники!$A$6:$A$45,0)),"нет в справочнике"))</f>
        <v/>
      </c>
      <c r="E238" s="20" t="n"/>
      <c r="F238" s="20" t="n"/>
      <c r="G238" s="20" t="n"/>
      <c r="H238" s="20" t="n"/>
      <c r="I238" s="18">
        <f>IF(C238="","",IFERROR(INDEX(Справочники!$C$6:$C$45,MATCH(C238,Справочники!$A$6:$A$45,0)),""))</f>
        <v/>
      </c>
      <c r="J238" s="22">
        <f>IF(C238="","",IFERROR(INDEX(Справочники!$E$6:$E$45,MATCH(C238,Справочники!$A$6:$A$45,0)),""))</f>
        <v/>
      </c>
      <c r="K238" s="23" t="n"/>
      <c r="L238" s="20" t="n"/>
      <c r="M238" s="19" t="n"/>
      <c r="N238" s="20" t="n"/>
      <c r="O238" s="23" t="n"/>
      <c r="P238" s="18">
        <f>IF(B238="","",IF(M238="",IF(L238="Карантин",INT(TODAY())-B238,""),M238-B238))</f>
        <v/>
      </c>
      <c r="Q238" s="18">
        <f>IF(C238="","",IFERROR(INDEX(Справочники!$D$6:$D$45,MATCH(C238,Справочники!$A$6:$A$45,0)),""))</f>
        <v/>
      </c>
    </row>
    <row r="239">
      <c r="A239" s="18">
        <f>IF(B239="","",ROW()-5)</f>
        <v/>
      </c>
      <c r="B239" s="19" t="n"/>
      <c r="C239" s="20" t="n"/>
      <c r="D239" s="21">
        <f>IF(C239="","",IFERROR(INDEX(Справочники!$B$6:$B$45,MATCH(C239,Справочники!$A$6:$A$45,0)),"нет в справочнике"))</f>
        <v/>
      </c>
      <c r="E239" s="20" t="n"/>
      <c r="F239" s="20" t="n"/>
      <c r="G239" s="20" t="n"/>
      <c r="H239" s="20" t="n"/>
      <c r="I239" s="18">
        <f>IF(C239="","",IFERROR(INDEX(Справочники!$C$6:$C$45,MATCH(C239,Справочники!$A$6:$A$45,0)),""))</f>
        <v/>
      </c>
      <c r="J239" s="22">
        <f>IF(C239="","",IFERROR(INDEX(Справочники!$E$6:$E$45,MATCH(C239,Справочники!$A$6:$A$45,0)),""))</f>
        <v/>
      </c>
      <c r="K239" s="23" t="n"/>
      <c r="L239" s="20" t="n"/>
      <c r="M239" s="19" t="n"/>
      <c r="N239" s="20" t="n"/>
      <c r="O239" s="23" t="n"/>
      <c r="P239" s="18">
        <f>IF(B239="","",IF(M239="",IF(L239="Карантин",INT(TODAY())-B239,""),M239-B239))</f>
        <v/>
      </c>
      <c r="Q239" s="18">
        <f>IF(C239="","",IFERROR(INDEX(Справочники!$D$6:$D$45,MATCH(C239,Справочники!$A$6:$A$45,0)),""))</f>
        <v/>
      </c>
    </row>
    <row r="240">
      <c r="A240" s="18">
        <f>IF(B240="","",ROW()-5)</f>
        <v/>
      </c>
      <c r="B240" s="19" t="n"/>
      <c r="C240" s="20" t="n"/>
      <c r="D240" s="21">
        <f>IF(C240="","",IFERROR(INDEX(Справочники!$B$6:$B$45,MATCH(C240,Справочники!$A$6:$A$45,0)),"нет в справочнике"))</f>
        <v/>
      </c>
      <c r="E240" s="20" t="n"/>
      <c r="F240" s="20" t="n"/>
      <c r="G240" s="20" t="n"/>
      <c r="H240" s="20" t="n"/>
      <c r="I240" s="18">
        <f>IF(C240="","",IFERROR(INDEX(Справочники!$C$6:$C$45,MATCH(C240,Справочники!$A$6:$A$45,0)),""))</f>
        <v/>
      </c>
      <c r="J240" s="22">
        <f>IF(C240="","",IFERROR(INDEX(Справочники!$E$6:$E$45,MATCH(C240,Справочники!$A$6:$A$45,0)),""))</f>
        <v/>
      </c>
      <c r="K240" s="23" t="n"/>
      <c r="L240" s="20" t="n"/>
      <c r="M240" s="19" t="n"/>
      <c r="N240" s="20" t="n"/>
      <c r="O240" s="23" t="n"/>
      <c r="P240" s="18">
        <f>IF(B240="","",IF(M240="",IF(L240="Карантин",INT(TODAY())-B240,""),M240-B240))</f>
        <v/>
      </c>
      <c r="Q240" s="18">
        <f>IF(C240="","",IFERROR(INDEX(Справочники!$D$6:$D$45,MATCH(C240,Справочники!$A$6:$A$45,0)),""))</f>
        <v/>
      </c>
    </row>
    <row r="241">
      <c r="A241" s="18">
        <f>IF(B241="","",ROW()-5)</f>
        <v/>
      </c>
      <c r="B241" s="19" t="n"/>
      <c r="C241" s="20" t="n"/>
      <c r="D241" s="21">
        <f>IF(C241="","",IFERROR(INDEX(Справочники!$B$6:$B$45,MATCH(C241,Справочники!$A$6:$A$45,0)),"нет в справочнике"))</f>
        <v/>
      </c>
      <c r="E241" s="20" t="n"/>
      <c r="F241" s="20" t="n"/>
      <c r="G241" s="20" t="n"/>
      <c r="H241" s="20" t="n"/>
      <c r="I241" s="18">
        <f>IF(C241="","",IFERROR(INDEX(Справочники!$C$6:$C$45,MATCH(C241,Справочники!$A$6:$A$45,0)),""))</f>
        <v/>
      </c>
      <c r="J241" s="22">
        <f>IF(C241="","",IFERROR(INDEX(Справочники!$E$6:$E$45,MATCH(C241,Справочники!$A$6:$A$45,0)),""))</f>
        <v/>
      </c>
      <c r="K241" s="23" t="n"/>
      <c r="L241" s="20" t="n"/>
      <c r="M241" s="19" t="n"/>
      <c r="N241" s="20" t="n"/>
      <c r="O241" s="23" t="n"/>
      <c r="P241" s="18">
        <f>IF(B241="","",IF(M241="",IF(L241="Карантин",INT(TODAY())-B241,""),M241-B241))</f>
        <v/>
      </c>
      <c r="Q241" s="18">
        <f>IF(C241="","",IFERROR(INDEX(Справочники!$D$6:$D$45,MATCH(C241,Справочники!$A$6:$A$45,0)),""))</f>
        <v/>
      </c>
    </row>
    <row r="242">
      <c r="A242" s="18">
        <f>IF(B242="","",ROW()-5)</f>
        <v/>
      </c>
      <c r="B242" s="19" t="n"/>
      <c r="C242" s="20" t="n"/>
      <c r="D242" s="21">
        <f>IF(C242="","",IFERROR(INDEX(Справочники!$B$6:$B$45,MATCH(C242,Справочники!$A$6:$A$45,0)),"нет в справочнике"))</f>
        <v/>
      </c>
      <c r="E242" s="20" t="n"/>
      <c r="F242" s="20" t="n"/>
      <c r="G242" s="20" t="n"/>
      <c r="H242" s="20" t="n"/>
      <c r="I242" s="18">
        <f>IF(C242="","",IFERROR(INDEX(Справочники!$C$6:$C$45,MATCH(C242,Справочники!$A$6:$A$45,0)),""))</f>
        <v/>
      </c>
      <c r="J242" s="22">
        <f>IF(C242="","",IFERROR(INDEX(Справочники!$E$6:$E$45,MATCH(C242,Справочники!$A$6:$A$45,0)),""))</f>
        <v/>
      </c>
      <c r="K242" s="23" t="n"/>
      <c r="L242" s="20" t="n"/>
      <c r="M242" s="19" t="n"/>
      <c r="N242" s="20" t="n"/>
      <c r="O242" s="23" t="n"/>
      <c r="P242" s="18">
        <f>IF(B242="","",IF(M242="",IF(L242="Карантин",INT(TODAY())-B242,""),M242-B242))</f>
        <v/>
      </c>
      <c r="Q242" s="18">
        <f>IF(C242="","",IFERROR(INDEX(Справочники!$D$6:$D$45,MATCH(C242,Справочники!$A$6:$A$45,0)),""))</f>
        <v/>
      </c>
    </row>
    <row r="243">
      <c r="A243" s="18">
        <f>IF(B243="","",ROW()-5)</f>
        <v/>
      </c>
      <c r="B243" s="19" t="n"/>
      <c r="C243" s="20" t="n"/>
      <c r="D243" s="21">
        <f>IF(C243="","",IFERROR(INDEX(Справочники!$B$6:$B$45,MATCH(C243,Справочники!$A$6:$A$45,0)),"нет в справочнике"))</f>
        <v/>
      </c>
      <c r="E243" s="20" t="n"/>
      <c r="F243" s="20" t="n"/>
      <c r="G243" s="20" t="n"/>
      <c r="H243" s="20" t="n"/>
      <c r="I243" s="18">
        <f>IF(C243="","",IFERROR(INDEX(Справочники!$C$6:$C$45,MATCH(C243,Справочники!$A$6:$A$45,0)),""))</f>
        <v/>
      </c>
      <c r="J243" s="22">
        <f>IF(C243="","",IFERROR(INDEX(Справочники!$E$6:$E$45,MATCH(C243,Справочники!$A$6:$A$45,0)),""))</f>
        <v/>
      </c>
      <c r="K243" s="23" t="n"/>
      <c r="L243" s="20" t="n"/>
      <c r="M243" s="19" t="n"/>
      <c r="N243" s="20" t="n"/>
      <c r="O243" s="23" t="n"/>
      <c r="P243" s="18">
        <f>IF(B243="","",IF(M243="",IF(L243="Карантин",INT(TODAY())-B243,""),M243-B243))</f>
        <v/>
      </c>
      <c r="Q243" s="18">
        <f>IF(C243="","",IFERROR(INDEX(Справочники!$D$6:$D$45,MATCH(C243,Справочники!$A$6:$A$45,0)),""))</f>
        <v/>
      </c>
    </row>
    <row r="244">
      <c r="A244" s="18">
        <f>IF(B244="","",ROW()-5)</f>
        <v/>
      </c>
      <c r="B244" s="19" t="n"/>
      <c r="C244" s="20" t="n"/>
      <c r="D244" s="21">
        <f>IF(C244="","",IFERROR(INDEX(Справочники!$B$6:$B$45,MATCH(C244,Справочники!$A$6:$A$45,0)),"нет в справочнике"))</f>
        <v/>
      </c>
      <c r="E244" s="20" t="n"/>
      <c r="F244" s="20" t="n"/>
      <c r="G244" s="20" t="n"/>
      <c r="H244" s="20" t="n"/>
      <c r="I244" s="18">
        <f>IF(C244="","",IFERROR(INDEX(Справочники!$C$6:$C$45,MATCH(C244,Справочники!$A$6:$A$45,0)),""))</f>
        <v/>
      </c>
      <c r="J244" s="22">
        <f>IF(C244="","",IFERROR(INDEX(Справочники!$E$6:$E$45,MATCH(C244,Справочники!$A$6:$A$45,0)),""))</f>
        <v/>
      </c>
      <c r="K244" s="23" t="n"/>
      <c r="L244" s="20" t="n"/>
      <c r="M244" s="19" t="n"/>
      <c r="N244" s="20" t="n"/>
      <c r="O244" s="23" t="n"/>
      <c r="P244" s="18">
        <f>IF(B244="","",IF(M244="",IF(L244="Карантин",INT(TODAY())-B244,""),M244-B244))</f>
        <v/>
      </c>
      <c r="Q244" s="18">
        <f>IF(C244="","",IFERROR(INDEX(Справочники!$D$6:$D$45,MATCH(C244,Справочники!$A$6:$A$45,0)),""))</f>
        <v/>
      </c>
    </row>
    <row r="245">
      <c r="A245" s="18">
        <f>IF(B245="","",ROW()-5)</f>
        <v/>
      </c>
      <c r="B245" s="19" t="n"/>
      <c r="C245" s="20" t="n"/>
      <c r="D245" s="21">
        <f>IF(C245="","",IFERROR(INDEX(Справочники!$B$6:$B$45,MATCH(C245,Справочники!$A$6:$A$45,0)),"нет в справочнике"))</f>
        <v/>
      </c>
      <c r="E245" s="20" t="n"/>
      <c r="F245" s="20" t="n"/>
      <c r="G245" s="20" t="n"/>
      <c r="H245" s="20" t="n"/>
      <c r="I245" s="18">
        <f>IF(C245="","",IFERROR(INDEX(Справочники!$C$6:$C$45,MATCH(C245,Справочники!$A$6:$A$45,0)),""))</f>
        <v/>
      </c>
      <c r="J245" s="22">
        <f>IF(C245="","",IFERROR(INDEX(Справочники!$E$6:$E$45,MATCH(C245,Справочники!$A$6:$A$45,0)),""))</f>
        <v/>
      </c>
      <c r="K245" s="23" t="n"/>
      <c r="L245" s="20" t="n"/>
      <c r="M245" s="19" t="n"/>
      <c r="N245" s="20" t="n"/>
      <c r="O245" s="23" t="n"/>
      <c r="P245" s="18">
        <f>IF(B245="","",IF(M245="",IF(L245="Карантин",INT(TODAY())-B245,""),M245-B245))</f>
        <v/>
      </c>
      <c r="Q245" s="18">
        <f>IF(C245="","",IFERROR(INDEX(Справочники!$D$6:$D$45,MATCH(C245,Справочники!$A$6:$A$45,0)),""))</f>
        <v/>
      </c>
    </row>
    <row r="246">
      <c r="A246" s="18">
        <f>IF(B246="","",ROW()-5)</f>
        <v/>
      </c>
      <c r="B246" s="19" t="n"/>
      <c r="C246" s="20" t="n"/>
      <c r="D246" s="21">
        <f>IF(C246="","",IFERROR(INDEX(Справочники!$B$6:$B$45,MATCH(C246,Справочники!$A$6:$A$45,0)),"нет в справочнике"))</f>
        <v/>
      </c>
      <c r="E246" s="20" t="n"/>
      <c r="F246" s="20" t="n"/>
      <c r="G246" s="20" t="n"/>
      <c r="H246" s="20" t="n"/>
      <c r="I246" s="18">
        <f>IF(C246="","",IFERROR(INDEX(Справочники!$C$6:$C$45,MATCH(C246,Справочники!$A$6:$A$45,0)),""))</f>
        <v/>
      </c>
      <c r="J246" s="22">
        <f>IF(C246="","",IFERROR(INDEX(Справочники!$E$6:$E$45,MATCH(C246,Справочники!$A$6:$A$45,0)),""))</f>
        <v/>
      </c>
      <c r="K246" s="23" t="n"/>
      <c r="L246" s="20" t="n"/>
      <c r="M246" s="19" t="n"/>
      <c r="N246" s="20" t="n"/>
      <c r="O246" s="23" t="n"/>
      <c r="P246" s="18">
        <f>IF(B246="","",IF(M246="",IF(L246="Карантин",INT(TODAY())-B246,""),M246-B246))</f>
        <v/>
      </c>
      <c r="Q246" s="18">
        <f>IF(C246="","",IFERROR(INDEX(Справочники!$D$6:$D$45,MATCH(C246,Справочники!$A$6:$A$45,0)),""))</f>
        <v/>
      </c>
    </row>
    <row r="247">
      <c r="A247" s="18">
        <f>IF(B247="","",ROW()-5)</f>
        <v/>
      </c>
      <c r="B247" s="19" t="n"/>
      <c r="C247" s="20" t="n"/>
      <c r="D247" s="21">
        <f>IF(C247="","",IFERROR(INDEX(Справочники!$B$6:$B$45,MATCH(C247,Справочники!$A$6:$A$45,0)),"нет в справочнике"))</f>
        <v/>
      </c>
      <c r="E247" s="20" t="n"/>
      <c r="F247" s="20" t="n"/>
      <c r="G247" s="20" t="n"/>
      <c r="H247" s="20" t="n"/>
      <c r="I247" s="18">
        <f>IF(C247="","",IFERROR(INDEX(Справочники!$C$6:$C$45,MATCH(C247,Справочники!$A$6:$A$45,0)),""))</f>
        <v/>
      </c>
      <c r="J247" s="22">
        <f>IF(C247="","",IFERROR(INDEX(Справочники!$E$6:$E$45,MATCH(C247,Справочники!$A$6:$A$45,0)),""))</f>
        <v/>
      </c>
      <c r="K247" s="23" t="n"/>
      <c r="L247" s="20" t="n"/>
      <c r="M247" s="19" t="n"/>
      <c r="N247" s="20" t="n"/>
      <c r="O247" s="23" t="n"/>
      <c r="P247" s="18">
        <f>IF(B247="","",IF(M247="",IF(L247="Карантин",INT(TODAY())-B247,""),M247-B247))</f>
        <v/>
      </c>
      <c r="Q247" s="18">
        <f>IF(C247="","",IFERROR(INDEX(Справочники!$D$6:$D$45,MATCH(C247,Справочники!$A$6:$A$45,0)),""))</f>
        <v/>
      </c>
    </row>
    <row r="248">
      <c r="A248" s="18">
        <f>IF(B248="","",ROW()-5)</f>
        <v/>
      </c>
      <c r="B248" s="19" t="n"/>
      <c r="C248" s="20" t="n"/>
      <c r="D248" s="21">
        <f>IF(C248="","",IFERROR(INDEX(Справочники!$B$6:$B$45,MATCH(C248,Справочники!$A$6:$A$45,0)),"нет в справочнике"))</f>
        <v/>
      </c>
      <c r="E248" s="20" t="n"/>
      <c r="F248" s="20" t="n"/>
      <c r="G248" s="20" t="n"/>
      <c r="H248" s="20" t="n"/>
      <c r="I248" s="18">
        <f>IF(C248="","",IFERROR(INDEX(Справочники!$C$6:$C$45,MATCH(C248,Справочники!$A$6:$A$45,0)),""))</f>
        <v/>
      </c>
      <c r="J248" s="22">
        <f>IF(C248="","",IFERROR(INDEX(Справочники!$E$6:$E$45,MATCH(C248,Справочники!$A$6:$A$45,0)),""))</f>
        <v/>
      </c>
      <c r="K248" s="23" t="n"/>
      <c r="L248" s="20" t="n"/>
      <c r="M248" s="19" t="n"/>
      <c r="N248" s="20" t="n"/>
      <c r="O248" s="23" t="n"/>
      <c r="P248" s="18">
        <f>IF(B248="","",IF(M248="",IF(L248="Карантин",INT(TODAY())-B248,""),M248-B248))</f>
        <v/>
      </c>
      <c r="Q248" s="18">
        <f>IF(C248="","",IFERROR(INDEX(Справочники!$D$6:$D$45,MATCH(C248,Справочники!$A$6:$A$45,0)),""))</f>
        <v/>
      </c>
    </row>
    <row r="249">
      <c r="A249" s="18">
        <f>IF(B249="","",ROW()-5)</f>
        <v/>
      </c>
      <c r="B249" s="19" t="n"/>
      <c r="C249" s="20" t="n"/>
      <c r="D249" s="21">
        <f>IF(C249="","",IFERROR(INDEX(Справочники!$B$6:$B$45,MATCH(C249,Справочники!$A$6:$A$45,0)),"нет в справочнике"))</f>
        <v/>
      </c>
      <c r="E249" s="20" t="n"/>
      <c r="F249" s="20" t="n"/>
      <c r="G249" s="20" t="n"/>
      <c r="H249" s="20" t="n"/>
      <c r="I249" s="18">
        <f>IF(C249="","",IFERROR(INDEX(Справочники!$C$6:$C$45,MATCH(C249,Справочники!$A$6:$A$45,0)),""))</f>
        <v/>
      </c>
      <c r="J249" s="22">
        <f>IF(C249="","",IFERROR(INDEX(Справочники!$E$6:$E$45,MATCH(C249,Справочники!$A$6:$A$45,0)),""))</f>
        <v/>
      </c>
      <c r="K249" s="23" t="n"/>
      <c r="L249" s="20" t="n"/>
      <c r="M249" s="19" t="n"/>
      <c r="N249" s="20" t="n"/>
      <c r="O249" s="23" t="n"/>
      <c r="P249" s="18">
        <f>IF(B249="","",IF(M249="",IF(L249="Карантин",INT(TODAY())-B249,""),M249-B249))</f>
        <v/>
      </c>
      <c r="Q249" s="18">
        <f>IF(C249="","",IFERROR(INDEX(Справочники!$D$6:$D$45,MATCH(C249,Справочники!$A$6:$A$45,0)),""))</f>
        <v/>
      </c>
    </row>
    <row r="250">
      <c r="A250" s="18">
        <f>IF(B250="","",ROW()-5)</f>
        <v/>
      </c>
      <c r="B250" s="19" t="n"/>
      <c r="C250" s="20" t="n"/>
      <c r="D250" s="21">
        <f>IF(C250="","",IFERROR(INDEX(Справочники!$B$6:$B$45,MATCH(C250,Справочники!$A$6:$A$45,0)),"нет в справочнике"))</f>
        <v/>
      </c>
      <c r="E250" s="20" t="n"/>
      <c r="F250" s="20" t="n"/>
      <c r="G250" s="20" t="n"/>
      <c r="H250" s="20" t="n"/>
      <c r="I250" s="18">
        <f>IF(C250="","",IFERROR(INDEX(Справочники!$C$6:$C$45,MATCH(C250,Справочники!$A$6:$A$45,0)),""))</f>
        <v/>
      </c>
      <c r="J250" s="22">
        <f>IF(C250="","",IFERROR(INDEX(Справочники!$E$6:$E$45,MATCH(C250,Справочники!$A$6:$A$45,0)),""))</f>
        <v/>
      </c>
      <c r="K250" s="23" t="n"/>
      <c r="L250" s="20" t="n"/>
      <c r="M250" s="19" t="n"/>
      <c r="N250" s="20" t="n"/>
      <c r="O250" s="23" t="n"/>
      <c r="P250" s="18">
        <f>IF(B250="","",IF(M250="",IF(L250="Карантин",INT(TODAY())-B250,""),M250-B250))</f>
        <v/>
      </c>
      <c r="Q250" s="18">
        <f>IF(C250="","",IFERROR(INDEX(Справочники!$D$6:$D$45,MATCH(C250,Справочники!$A$6:$A$45,0)),""))</f>
        <v/>
      </c>
    </row>
    <row r="251">
      <c r="A251" s="18">
        <f>IF(B251="","",ROW()-5)</f>
        <v/>
      </c>
      <c r="B251" s="19" t="n"/>
      <c r="C251" s="20" t="n"/>
      <c r="D251" s="21">
        <f>IF(C251="","",IFERROR(INDEX(Справочники!$B$6:$B$45,MATCH(C251,Справочники!$A$6:$A$45,0)),"нет в справочнике"))</f>
        <v/>
      </c>
      <c r="E251" s="20" t="n"/>
      <c r="F251" s="20" t="n"/>
      <c r="G251" s="20" t="n"/>
      <c r="H251" s="20" t="n"/>
      <c r="I251" s="18">
        <f>IF(C251="","",IFERROR(INDEX(Справочники!$C$6:$C$45,MATCH(C251,Справочники!$A$6:$A$45,0)),""))</f>
        <v/>
      </c>
      <c r="J251" s="22">
        <f>IF(C251="","",IFERROR(INDEX(Справочники!$E$6:$E$45,MATCH(C251,Справочники!$A$6:$A$45,0)),""))</f>
        <v/>
      </c>
      <c r="K251" s="23" t="n"/>
      <c r="L251" s="20" t="n"/>
      <c r="M251" s="19" t="n"/>
      <c r="N251" s="20" t="n"/>
      <c r="O251" s="23" t="n"/>
      <c r="P251" s="18">
        <f>IF(B251="","",IF(M251="",IF(L251="Карантин",INT(TODAY())-B251,""),M251-B251))</f>
        <v/>
      </c>
      <c r="Q251" s="18">
        <f>IF(C251="","",IFERROR(INDEX(Справочники!$D$6:$D$45,MATCH(C251,Справочники!$A$6:$A$45,0)),""))</f>
        <v/>
      </c>
    </row>
    <row r="252">
      <c r="A252" s="18">
        <f>IF(B252="","",ROW()-5)</f>
        <v/>
      </c>
      <c r="B252" s="19" t="n"/>
      <c r="C252" s="20" t="n"/>
      <c r="D252" s="21">
        <f>IF(C252="","",IFERROR(INDEX(Справочники!$B$6:$B$45,MATCH(C252,Справочники!$A$6:$A$45,0)),"нет в справочнике"))</f>
        <v/>
      </c>
      <c r="E252" s="20" t="n"/>
      <c r="F252" s="20" t="n"/>
      <c r="G252" s="20" t="n"/>
      <c r="H252" s="20" t="n"/>
      <c r="I252" s="18">
        <f>IF(C252="","",IFERROR(INDEX(Справочники!$C$6:$C$45,MATCH(C252,Справочники!$A$6:$A$45,0)),""))</f>
        <v/>
      </c>
      <c r="J252" s="22">
        <f>IF(C252="","",IFERROR(INDEX(Справочники!$E$6:$E$45,MATCH(C252,Справочники!$A$6:$A$45,0)),""))</f>
        <v/>
      </c>
      <c r="K252" s="23" t="n"/>
      <c r="L252" s="20" t="n"/>
      <c r="M252" s="19" t="n"/>
      <c r="N252" s="20" t="n"/>
      <c r="O252" s="23" t="n"/>
      <c r="P252" s="18">
        <f>IF(B252="","",IF(M252="",IF(L252="Карантин",INT(TODAY())-B252,""),M252-B252))</f>
        <v/>
      </c>
      <c r="Q252" s="18">
        <f>IF(C252="","",IFERROR(INDEX(Справочники!$D$6:$D$45,MATCH(C252,Справочники!$A$6:$A$45,0)),""))</f>
        <v/>
      </c>
    </row>
    <row r="253">
      <c r="A253" s="18">
        <f>IF(B253="","",ROW()-5)</f>
        <v/>
      </c>
      <c r="B253" s="19" t="n"/>
      <c r="C253" s="20" t="n"/>
      <c r="D253" s="21">
        <f>IF(C253="","",IFERROR(INDEX(Справочники!$B$6:$B$45,MATCH(C253,Справочники!$A$6:$A$45,0)),"нет в справочнике"))</f>
        <v/>
      </c>
      <c r="E253" s="20" t="n"/>
      <c r="F253" s="20" t="n"/>
      <c r="G253" s="20" t="n"/>
      <c r="H253" s="20" t="n"/>
      <c r="I253" s="18">
        <f>IF(C253="","",IFERROR(INDEX(Справочники!$C$6:$C$45,MATCH(C253,Справочники!$A$6:$A$45,0)),""))</f>
        <v/>
      </c>
      <c r="J253" s="22">
        <f>IF(C253="","",IFERROR(INDEX(Справочники!$E$6:$E$45,MATCH(C253,Справочники!$A$6:$A$45,0)),""))</f>
        <v/>
      </c>
      <c r="K253" s="23" t="n"/>
      <c r="L253" s="20" t="n"/>
      <c r="M253" s="19" t="n"/>
      <c r="N253" s="20" t="n"/>
      <c r="O253" s="23" t="n"/>
      <c r="P253" s="18">
        <f>IF(B253="","",IF(M253="",IF(L253="Карантин",INT(TODAY())-B253,""),M253-B253))</f>
        <v/>
      </c>
      <c r="Q253" s="18">
        <f>IF(C253="","",IFERROR(INDEX(Справочники!$D$6:$D$45,MATCH(C253,Справочники!$A$6:$A$45,0)),""))</f>
        <v/>
      </c>
    </row>
    <row r="254">
      <c r="A254" s="18">
        <f>IF(B254="","",ROW()-5)</f>
        <v/>
      </c>
      <c r="B254" s="19" t="n"/>
      <c r="C254" s="20" t="n"/>
      <c r="D254" s="21">
        <f>IF(C254="","",IFERROR(INDEX(Справочники!$B$6:$B$45,MATCH(C254,Справочники!$A$6:$A$45,0)),"нет в справочнике"))</f>
        <v/>
      </c>
      <c r="E254" s="20" t="n"/>
      <c r="F254" s="20" t="n"/>
      <c r="G254" s="20" t="n"/>
      <c r="H254" s="20" t="n"/>
      <c r="I254" s="18">
        <f>IF(C254="","",IFERROR(INDEX(Справочники!$C$6:$C$45,MATCH(C254,Справочники!$A$6:$A$45,0)),""))</f>
        <v/>
      </c>
      <c r="J254" s="22">
        <f>IF(C254="","",IFERROR(INDEX(Справочники!$E$6:$E$45,MATCH(C254,Справочники!$A$6:$A$45,0)),""))</f>
        <v/>
      </c>
      <c r="K254" s="23" t="n"/>
      <c r="L254" s="20" t="n"/>
      <c r="M254" s="19" t="n"/>
      <c r="N254" s="20" t="n"/>
      <c r="O254" s="23" t="n"/>
      <c r="P254" s="18">
        <f>IF(B254="","",IF(M254="",IF(L254="Карантин",INT(TODAY())-B254,""),M254-B254))</f>
        <v/>
      </c>
      <c r="Q254" s="18">
        <f>IF(C254="","",IFERROR(INDEX(Справочники!$D$6:$D$45,MATCH(C254,Справочники!$A$6:$A$45,0)),""))</f>
        <v/>
      </c>
    </row>
    <row r="255">
      <c r="A255" s="18">
        <f>IF(B255="","",ROW()-5)</f>
        <v/>
      </c>
      <c r="B255" s="19" t="n"/>
      <c r="C255" s="20" t="n"/>
      <c r="D255" s="21">
        <f>IF(C255="","",IFERROR(INDEX(Справочники!$B$6:$B$45,MATCH(C255,Справочники!$A$6:$A$45,0)),"нет в справочнике"))</f>
        <v/>
      </c>
      <c r="E255" s="20" t="n"/>
      <c r="F255" s="20" t="n"/>
      <c r="G255" s="20" t="n"/>
      <c r="H255" s="20" t="n"/>
      <c r="I255" s="18">
        <f>IF(C255="","",IFERROR(INDEX(Справочники!$C$6:$C$45,MATCH(C255,Справочники!$A$6:$A$45,0)),""))</f>
        <v/>
      </c>
      <c r="J255" s="22">
        <f>IF(C255="","",IFERROR(INDEX(Справочники!$E$6:$E$45,MATCH(C255,Справочники!$A$6:$A$45,0)),""))</f>
        <v/>
      </c>
      <c r="K255" s="23" t="n"/>
      <c r="L255" s="20" t="n"/>
      <c r="M255" s="19" t="n"/>
      <c r="N255" s="20" t="n"/>
      <c r="O255" s="23" t="n"/>
      <c r="P255" s="18">
        <f>IF(B255="","",IF(M255="",IF(L255="Карантин",INT(TODAY())-B255,""),M255-B255))</f>
        <v/>
      </c>
      <c r="Q255" s="18">
        <f>IF(C255="","",IFERROR(INDEX(Справочники!$D$6:$D$45,MATCH(C255,Справочники!$A$6:$A$45,0)),""))</f>
        <v/>
      </c>
    </row>
    <row r="256">
      <c r="A256" s="18">
        <f>IF(B256="","",ROW()-5)</f>
        <v/>
      </c>
      <c r="B256" s="19" t="n"/>
      <c r="C256" s="20" t="n"/>
      <c r="D256" s="21">
        <f>IF(C256="","",IFERROR(INDEX(Справочники!$B$6:$B$45,MATCH(C256,Справочники!$A$6:$A$45,0)),"нет в справочнике"))</f>
        <v/>
      </c>
      <c r="E256" s="20" t="n"/>
      <c r="F256" s="20" t="n"/>
      <c r="G256" s="20" t="n"/>
      <c r="H256" s="20" t="n"/>
      <c r="I256" s="18">
        <f>IF(C256="","",IFERROR(INDEX(Справочники!$C$6:$C$45,MATCH(C256,Справочники!$A$6:$A$45,0)),""))</f>
        <v/>
      </c>
      <c r="J256" s="22">
        <f>IF(C256="","",IFERROR(INDEX(Справочники!$E$6:$E$45,MATCH(C256,Справочники!$A$6:$A$45,0)),""))</f>
        <v/>
      </c>
      <c r="K256" s="23" t="n"/>
      <c r="L256" s="20" t="n"/>
      <c r="M256" s="19" t="n"/>
      <c r="N256" s="20" t="n"/>
      <c r="O256" s="23" t="n"/>
      <c r="P256" s="18">
        <f>IF(B256="","",IF(M256="",IF(L256="Карантин",INT(TODAY())-B256,""),M256-B256))</f>
        <v/>
      </c>
      <c r="Q256" s="18">
        <f>IF(C256="","",IFERROR(INDEX(Справочники!$D$6:$D$45,MATCH(C256,Справочники!$A$6:$A$45,0)),""))</f>
        <v/>
      </c>
    </row>
    <row r="257">
      <c r="A257" s="18">
        <f>IF(B257="","",ROW()-5)</f>
        <v/>
      </c>
      <c r="B257" s="19" t="n"/>
      <c r="C257" s="20" t="n"/>
      <c r="D257" s="21">
        <f>IF(C257="","",IFERROR(INDEX(Справочники!$B$6:$B$45,MATCH(C257,Справочники!$A$6:$A$45,0)),"нет в справочнике"))</f>
        <v/>
      </c>
      <c r="E257" s="20" t="n"/>
      <c r="F257" s="20" t="n"/>
      <c r="G257" s="20" t="n"/>
      <c r="H257" s="20" t="n"/>
      <c r="I257" s="18">
        <f>IF(C257="","",IFERROR(INDEX(Справочники!$C$6:$C$45,MATCH(C257,Справочники!$A$6:$A$45,0)),""))</f>
        <v/>
      </c>
      <c r="J257" s="22">
        <f>IF(C257="","",IFERROR(INDEX(Справочники!$E$6:$E$45,MATCH(C257,Справочники!$A$6:$A$45,0)),""))</f>
        <v/>
      </c>
      <c r="K257" s="23" t="n"/>
      <c r="L257" s="20" t="n"/>
      <c r="M257" s="19" t="n"/>
      <c r="N257" s="20" t="n"/>
      <c r="O257" s="23" t="n"/>
      <c r="P257" s="18">
        <f>IF(B257="","",IF(M257="",IF(L257="Карантин",INT(TODAY())-B257,""),M257-B257))</f>
        <v/>
      </c>
      <c r="Q257" s="18">
        <f>IF(C257="","",IFERROR(INDEX(Справочники!$D$6:$D$45,MATCH(C257,Справочники!$A$6:$A$45,0)),""))</f>
        <v/>
      </c>
    </row>
    <row r="258">
      <c r="A258" s="18">
        <f>IF(B258="","",ROW()-5)</f>
        <v/>
      </c>
      <c r="B258" s="19" t="n"/>
      <c r="C258" s="20" t="n"/>
      <c r="D258" s="21">
        <f>IF(C258="","",IFERROR(INDEX(Справочники!$B$6:$B$45,MATCH(C258,Справочники!$A$6:$A$45,0)),"нет в справочнике"))</f>
        <v/>
      </c>
      <c r="E258" s="20" t="n"/>
      <c r="F258" s="20" t="n"/>
      <c r="G258" s="20" t="n"/>
      <c r="H258" s="20" t="n"/>
      <c r="I258" s="18">
        <f>IF(C258="","",IFERROR(INDEX(Справочники!$C$6:$C$45,MATCH(C258,Справочники!$A$6:$A$45,0)),""))</f>
        <v/>
      </c>
      <c r="J258" s="22">
        <f>IF(C258="","",IFERROR(INDEX(Справочники!$E$6:$E$45,MATCH(C258,Справочники!$A$6:$A$45,0)),""))</f>
        <v/>
      </c>
      <c r="K258" s="23" t="n"/>
      <c r="L258" s="20" t="n"/>
      <c r="M258" s="19" t="n"/>
      <c r="N258" s="20" t="n"/>
      <c r="O258" s="23" t="n"/>
      <c r="P258" s="18">
        <f>IF(B258="","",IF(M258="",IF(L258="Карантин",INT(TODAY())-B258,""),M258-B258))</f>
        <v/>
      </c>
      <c r="Q258" s="18">
        <f>IF(C258="","",IFERROR(INDEX(Справочники!$D$6:$D$45,MATCH(C258,Справочники!$A$6:$A$45,0)),""))</f>
        <v/>
      </c>
    </row>
    <row r="259">
      <c r="A259" s="18">
        <f>IF(B259="","",ROW()-5)</f>
        <v/>
      </c>
      <c r="B259" s="19" t="n"/>
      <c r="C259" s="20" t="n"/>
      <c r="D259" s="21">
        <f>IF(C259="","",IFERROR(INDEX(Справочники!$B$6:$B$45,MATCH(C259,Справочники!$A$6:$A$45,0)),"нет в справочнике"))</f>
        <v/>
      </c>
      <c r="E259" s="20" t="n"/>
      <c r="F259" s="20" t="n"/>
      <c r="G259" s="20" t="n"/>
      <c r="H259" s="20" t="n"/>
      <c r="I259" s="18">
        <f>IF(C259="","",IFERROR(INDEX(Справочники!$C$6:$C$45,MATCH(C259,Справочники!$A$6:$A$45,0)),""))</f>
        <v/>
      </c>
      <c r="J259" s="22">
        <f>IF(C259="","",IFERROR(INDEX(Справочники!$E$6:$E$45,MATCH(C259,Справочники!$A$6:$A$45,0)),""))</f>
        <v/>
      </c>
      <c r="K259" s="23" t="n"/>
      <c r="L259" s="20" t="n"/>
      <c r="M259" s="19" t="n"/>
      <c r="N259" s="20" t="n"/>
      <c r="O259" s="23" t="n"/>
      <c r="P259" s="18">
        <f>IF(B259="","",IF(M259="",IF(L259="Карантин",INT(TODAY())-B259,""),M259-B259))</f>
        <v/>
      </c>
      <c r="Q259" s="18">
        <f>IF(C259="","",IFERROR(INDEX(Справочники!$D$6:$D$45,MATCH(C259,Справочники!$A$6:$A$45,0)),""))</f>
        <v/>
      </c>
    </row>
    <row r="260">
      <c r="A260" s="18">
        <f>IF(B260="","",ROW()-5)</f>
        <v/>
      </c>
      <c r="B260" s="19" t="n"/>
      <c r="C260" s="20" t="n"/>
      <c r="D260" s="21">
        <f>IF(C260="","",IFERROR(INDEX(Справочники!$B$6:$B$45,MATCH(C260,Справочники!$A$6:$A$45,0)),"нет в справочнике"))</f>
        <v/>
      </c>
      <c r="E260" s="20" t="n"/>
      <c r="F260" s="20" t="n"/>
      <c r="G260" s="20" t="n"/>
      <c r="H260" s="20" t="n"/>
      <c r="I260" s="18">
        <f>IF(C260="","",IFERROR(INDEX(Справочники!$C$6:$C$45,MATCH(C260,Справочники!$A$6:$A$45,0)),""))</f>
        <v/>
      </c>
      <c r="J260" s="22">
        <f>IF(C260="","",IFERROR(INDEX(Справочники!$E$6:$E$45,MATCH(C260,Справочники!$A$6:$A$45,0)),""))</f>
        <v/>
      </c>
      <c r="K260" s="23" t="n"/>
      <c r="L260" s="20" t="n"/>
      <c r="M260" s="19" t="n"/>
      <c r="N260" s="20" t="n"/>
      <c r="O260" s="23" t="n"/>
      <c r="P260" s="18">
        <f>IF(B260="","",IF(M260="",IF(L260="Карантин",INT(TODAY())-B260,""),M260-B260))</f>
        <v/>
      </c>
      <c r="Q260" s="18">
        <f>IF(C260="","",IFERROR(INDEX(Справочники!$D$6:$D$45,MATCH(C260,Справочники!$A$6:$A$45,0)),""))</f>
        <v/>
      </c>
    </row>
    <row r="261">
      <c r="A261" s="18">
        <f>IF(B261="","",ROW()-5)</f>
        <v/>
      </c>
      <c r="B261" s="19" t="n"/>
      <c r="C261" s="20" t="n"/>
      <c r="D261" s="21">
        <f>IF(C261="","",IFERROR(INDEX(Справочники!$B$6:$B$45,MATCH(C261,Справочники!$A$6:$A$45,0)),"нет в справочнике"))</f>
        <v/>
      </c>
      <c r="E261" s="20" t="n"/>
      <c r="F261" s="20" t="n"/>
      <c r="G261" s="20" t="n"/>
      <c r="H261" s="20" t="n"/>
      <c r="I261" s="18">
        <f>IF(C261="","",IFERROR(INDEX(Справочники!$C$6:$C$45,MATCH(C261,Справочники!$A$6:$A$45,0)),""))</f>
        <v/>
      </c>
      <c r="J261" s="22">
        <f>IF(C261="","",IFERROR(INDEX(Справочники!$E$6:$E$45,MATCH(C261,Справочники!$A$6:$A$45,0)),""))</f>
        <v/>
      </c>
      <c r="K261" s="23" t="n"/>
      <c r="L261" s="20" t="n"/>
      <c r="M261" s="19" t="n"/>
      <c r="N261" s="20" t="n"/>
      <c r="O261" s="23" t="n"/>
      <c r="P261" s="18">
        <f>IF(B261="","",IF(M261="",IF(L261="Карантин",INT(TODAY())-B261,""),M261-B261))</f>
        <v/>
      </c>
      <c r="Q261" s="18">
        <f>IF(C261="","",IFERROR(INDEX(Справочники!$D$6:$D$45,MATCH(C261,Справочники!$A$6:$A$45,0)),""))</f>
        <v/>
      </c>
    </row>
    <row r="262">
      <c r="A262" s="18">
        <f>IF(B262="","",ROW()-5)</f>
        <v/>
      </c>
      <c r="B262" s="19" t="n"/>
      <c r="C262" s="20" t="n"/>
      <c r="D262" s="21">
        <f>IF(C262="","",IFERROR(INDEX(Справочники!$B$6:$B$45,MATCH(C262,Справочники!$A$6:$A$45,0)),"нет в справочнике"))</f>
        <v/>
      </c>
      <c r="E262" s="20" t="n"/>
      <c r="F262" s="20" t="n"/>
      <c r="G262" s="20" t="n"/>
      <c r="H262" s="20" t="n"/>
      <c r="I262" s="18">
        <f>IF(C262="","",IFERROR(INDEX(Справочники!$C$6:$C$45,MATCH(C262,Справочники!$A$6:$A$45,0)),""))</f>
        <v/>
      </c>
      <c r="J262" s="22">
        <f>IF(C262="","",IFERROR(INDEX(Справочники!$E$6:$E$45,MATCH(C262,Справочники!$A$6:$A$45,0)),""))</f>
        <v/>
      </c>
      <c r="K262" s="23" t="n"/>
      <c r="L262" s="20" t="n"/>
      <c r="M262" s="19" t="n"/>
      <c r="N262" s="20" t="n"/>
      <c r="O262" s="23" t="n"/>
      <c r="P262" s="18">
        <f>IF(B262="","",IF(M262="",IF(L262="Карантин",INT(TODAY())-B262,""),M262-B262))</f>
        <v/>
      </c>
      <c r="Q262" s="18">
        <f>IF(C262="","",IFERROR(INDEX(Справочники!$D$6:$D$45,MATCH(C262,Справочники!$A$6:$A$45,0)),""))</f>
        <v/>
      </c>
    </row>
    <row r="263">
      <c r="A263" s="18">
        <f>IF(B263="","",ROW()-5)</f>
        <v/>
      </c>
      <c r="B263" s="19" t="n"/>
      <c r="C263" s="20" t="n"/>
      <c r="D263" s="21">
        <f>IF(C263="","",IFERROR(INDEX(Справочники!$B$6:$B$45,MATCH(C263,Справочники!$A$6:$A$45,0)),"нет в справочнике"))</f>
        <v/>
      </c>
      <c r="E263" s="20" t="n"/>
      <c r="F263" s="20" t="n"/>
      <c r="G263" s="20" t="n"/>
      <c r="H263" s="20" t="n"/>
      <c r="I263" s="18">
        <f>IF(C263="","",IFERROR(INDEX(Справочники!$C$6:$C$45,MATCH(C263,Справочники!$A$6:$A$45,0)),""))</f>
        <v/>
      </c>
      <c r="J263" s="22">
        <f>IF(C263="","",IFERROR(INDEX(Справочники!$E$6:$E$45,MATCH(C263,Справочники!$A$6:$A$45,0)),""))</f>
        <v/>
      </c>
      <c r="K263" s="23" t="n"/>
      <c r="L263" s="20" t="n"/>
      <c r="M263" s="19" t="n"/>
      <c r="N263" s="20" t="n"/>
      <c r="O263" s="23" t="n"/>
      <c r="P263" s="18">
        <f>IF(B263="","",IF(M263="",IF(L263="Карантин",INT(TODAY())-B263,""),M263-B263))</f>
        <v/>
      </c>
      <c r="Q263" s="18">
        <f>IF(C263="","",IFERROR(INDEX(Справочники!$D$6:$D$45,MATCH(C263,Справочники!$A$6:$A$45,0)),""))</f>
        <v/>
      </c>
    </row>
    <row r="264">
      <c r="A264" s="18">
        <f>IF(B264="","",ROW()-5)</f>
        <v/>
      </c>
      <c r="B264" s="19" t="n"/>
      <c r="C264" s="20" t="n"/>
      <c r="D264" s="21">
        <f>IF(C264="","",IFERROR(INDEX(Справочники!$B$6:$B$45,MATCH(C264,Справочники!$A$6:$A$45,0)),"нет в справочнике"))</f>
        <v/>
      </c>
      <c r="E264" s="20" t="n"/>
      <c r="F264" s="20" t="n"/>
      <c r="G264" s="20" t="n"/>
      <c r="H264" s="20" t="n"/>
      <c r="I264" s="18">
        <f>IF(C264="","",IFERROR(INDEX(Справочники!$C$6:$C$45,MATCH(C264,Справочники!$A$6:$A$45,0)),""))</f>
        <v/>
      </c>
      <c r="J264" s="22">
        <f>IF(C264="","",IFERROR(INDEX(Справочники!$E$6:$E$45,MATCH(C264,Справочники!$A$6:$A$45,0)),""))</f>
        <v/>
      </c>
      <c r="K264" s="23" t="n"/>
      <c r="L264" s="20" t="n"/>
      <c r="M264" s="19" t="n"/>
      <c r="N264" s="20" t="n"/>
      <c r="O264" s="23" t="n"/>
      <c r="P264" s="18">
        <f>IF(B264="","",IF(M264="",IF(L264="Карантин",INT(TODAY())-B264,""),M264-B264))</f>
        <v/>
      </c>
      <c r="Q264" s="18">
        <f>IF(C264="","",IFERROR(INDEX(Справочники!$D$6:$D$45,MATCH(C264,Справочники!$A$6:$A$45,0)),""))</f>
        <v/>
      </c>
    </row>
    <row r="265">
      <c r="A265" s="18">
        <f>IF(B265="","",ROW()-5)</f>
        <v/>
      </c>
      <c r="B265" s="19" t="n"/>
      <c r="C265" s="20" t="n"/>
      <c r="D265" s="21">
        <f>IF(C265="","",IFERROR(INDEX(Справочники!$B$6:$B$45,MATCH(C265,Справочники!$A$6:$A$45,0)),"нет в справочнике"))</f>
        <v/>
      </c>
      <c r="E265" s="20" t="n"/>
      <c r="F265" s="20" t="n"/>
      <c r="G265" s="20" t="n"/>
      <c r="H265" s="20" t="n"/>
      <c r="I265" s="18">
        <f>IF(C265="","",IFERROR(INDEX(Справочники!$C$6:$C$45,MATCH(C265,Справочники!$A$6:$A$45,0)),""))</f>
        <v/>
      </c>
      <c r="J265" s="22">
        <f>IF(C265="","",IFERROR(INDEX(Справочники!$E$6:$E$45,MATCH(C265,Справочники!$A$6:$A$45,0)),""))</f>
        <v/>
      </c>
      <c r="K265" s="23" t="n"/>
      <c r="L265" s="20" t="n"/>
      <c r="M265" s="19" t="n"/>
      <c r="N265" s="20" t="n"/>
      <c r="O265" s="23" t="n"/>
      <c r="P265" s="18">
        <f>IF(B265="","",IF(M265="",IF(L265="Карантин",INT(TODAY())-B265,""),M265-B265))</f>
        <v/>
      </c>
      <c r="Q265" s="18">
        <f>IF(C265="","",IFERROR(INDEX(Справочники!$D$6:$D$45,MATCH(C265,Справочники!$A$6:$A$45,0)),""))</f>
        <v/>
      </c>
    </row>
    <row r="266">
      <c r="A266" s="18">
        <f>IF(B266="","",ROW()-5)</f>
        <v/>
      </c>
      <c r="B266" s="19" t="n"/>
      <c r="C266" s="20" t="n"/>
      <c r="D266" s="21">
        <f>IF(C266="","",IFERROR(INDEX(Справочники!$B$6:$B$45,MATCH(C266,Справочники!$A$6:$A$45,0)),"нет в справочнике"))</f>
        <v/>
      </c>
      <c r="E266" s="20" t="n"/>
      <c r="F266" s="20" t="n"/>
      <c r="G266" s="20" t="n"/>
      <c r="H266" s="20" t="n"/>
      <c r="I266" s="18">
        <f>IF(C266="","",IFERROR(INDEX(Справочники!$C$6:$C$45,MATCH(C266,Справочники!$A$6:$A$45,0)),""))</f>
        <v/>
      </c>
      <c r="J266" s="22">
        <f>IF(C266="","",IFERROR(INDEX(Справочники!$E$6:$E$45,MATCH(C266,Справочники!$A$6:$A$45,0)),""))</f>
        <v/>
      </c>
      <c r="K266" s="23" t="n"/>
      <c r="L266" s="20" t="n"/>
      <c r="M266" s="19" t="n"/>
      <c r="N266" s="20" t="n"/>
      <c r="O266" s="23" t="n"/>
      <c r="P266" s="18">
        <f>IF(B266="","",IF(M266="",IF(L266="Карантин",INT(TODAY())-B266,""),M266-B266))</f>
        <v/>
      </c>
      <c r="Q266" s="18">
        <f>IF(C266="","",IFERROR(INDEX(Справочники!$D$6:$D$45,MATCH(C266,Справочники!$A$6:$A$45,0)),""))</f>
        <v/>
      </c>
    </row>
    <row r="267">
      <c r="A267" s="18">
        <f>IF(B267="","",ROW()-5)</f>
        <v/>
      </c>
      <c r="B267" s="19" t="n"/>
      <c r="C267" s="20" t="n"/>
      <c r="D267" s="21">
        <f>IF(C267="","",IFERROR(INDEX(Справочники!$B$6:$B$45,MATCH(C267,Справочники!$A$6:$A$45,0)),"нет в справочнике"))</f>
        <v/>
      </c>
      <c r="E267" s="20" t="n"/>
      <c r="F267" s="20" t="n"/>
      <c r="G267" s="20" t="n"/>
      <c r="H267" s="20" t="n"/>
      <c r="I267" s="18">
        <f>IF(C267="","",IFERROR(INDEX(Справочники!$C$6:$C$45,MATCH(C267,Справочники!$A$6:$A$45,0)),""))</f>
        <v/>
      </c>
      <c r="J267" s="22">
        <f>IF(C267="","",IFERROR(INDEX(Справочники!$E$6:$E$45,MATCH(C267,Справочники!$A$6:$A$45,0)),""))</f>
        <v/>
      </c>
      <c r="K267" s="23" t="n"/>
      <c r="L267" s="20" t="n"/>
      <c r="M267" s="19" t="n"/>
      <c r="N267" s="20" t="n"/>
      <c r="O267" s="23" t="n"/>
      <c r="P267" s="18">
        <f>IF(B267="","",IF(M267="",IF(L267="Карантин",INT(TODAY())-B267,""),M267-B267))</f>
        <v/>
      </c>
      <c r="Q267" s="18">
        <f>IF(C267="","",IFERROR(INDEX(Справочники!$D$6:$D$45,MATCH(C267,Справочники!$A$6:$A$45,0)),""))</f>
        <v/>
      </c>
    </row>
    <row r="268">
      <c r="A268" s="18">
        <f>IF(B268="","",ROW()-5)</f>
        <v/>
      </c>
      <c r="B268" s="19" t="n"/>
      <c r="C268" s="20" t="n"/>
      <c r="D268" s="21">
        <f>IF(C268="","",IFERROR(INDEX(Справочники!$B$6:$B$45,MATCH(C268,Справочники!$A$6:$A$45,0)),"нет в справочнике"))</f>
        <v/>
      </c>
      <c r="E268" s="20" t="n"/>
      <c r="F268" s="20" t="n"/>
      <c r="G268" s="20" t="n"/>
      <c r="H268" s="20" t="n"/>
      <c r="I268" s="18">
        <f>IF(C268="","",IFERROR(INDEX(Справочники!$C$6:$C$45,MATCH(C268,Справочники!$A$6:$A$45,0)),""))</f>
        <v/>
      </c>
      <c r="J268" s="22">
        <f>IF(C268="","",IFERROR(INDEX(Справочники!$E$6:$E$45,MATCH(C268,Справочники!$A$6:$A$45,0)),""))</f>
        <v/>
      </c>
      <c r="K268" s="23" t="n"/>
      <c r="L268" s="20" t="n"/>
      <c r="M268" s="19" t="n"/>
      <c r="N268" s="20" t="n"/>
      <c r="O268" s="23" t="n"/>
      <c r="P268" s="18">
        <f>IF(B268="","",IF(M268="",IF(L268="Карантин",INT(TODAY())-B268,""),M268-B268))</f>
        <v/>
      </c>
      <c r="Q268" s="18">
        <f>IF(C268="","",IFERROR(INDEX(Справочники!$D$6:$D$45,MATCH(C268,Справочники!$A$6:$A$45,0)),""))</f>
        <v/>
      </c>
    </row>
    <row r="269">
      <c r="A269" s="18">
        <f>IF(B269="","",ROW()-5)</f>
        <v/>
      </c>
      <c r="B269" s="19" t="n"/>
      <c r="C269" s="20" t="n"/>
      <c r="D269" s="21">
        <f>IF(C269="","",IFERROR(INDEX(Справочники!$B$6:$B$45,MATCH(C269,Справочники!$A$6:$A$45,0)),"нет в справочнике"))</f>
        <v/>
      </c>
      <c r="E269" s="20" t="n"/>
      <c r="F269" s="20" t="n"/>
      <c r="G269" s="20" t="n"/>
      <c r="H269" s="20" t="n"/>
      <c r="I269" s="18">
        <f>IF(C269="","",IFERROR(INDEX(Справочники!$C$6:$C$45,MATCH(C269,Справочники!$A$6:$A$45,0)),""))</f>
        <v/>
      </c>
      <c r="J269" s="22">
        <f>IF(C269="","",IFERROR(INDEX(Справочники!$E$6:$E$45,MATCH(C269,Справочники!$A$6:$A$45,0)),""))</f>
        <v/>
      </c>
      <c r="K269" s="23" t="n"/>
      <c r="L269" s="20" t="n"/>
      <c r="M269" s="19" t="n"/>
      <c r="N269" s="20" t="n"/>
      <c r="O269" s="23" t="n"/>
      <c r="P269" s="18">
        <f>IF(B269="","",IF(M269="",IF(L269="Карантин",INT(TODAY())-B269,""),M269-B269))</f>
        <v/>
      </c>
      <c r="Q269" s="18">
        <f>IF(C269="","",IFERROR(INDEX(Справочники!$D$6:$D$45,MATCH(C269,Справочники!$A$6:$A$45,0)),""))</f>
        <v/>
      </c>
    </row>
    <row r="270">
      <c r="A270" s="18">
        <f>IF(B270="","",ROW()-5)</f>
        <v/>
      </c>
      <c r="B270" s="19" t="n"/>
      <c r="C270" s="20" t="n"/>
      <c r="D270" s="21">
        <f>IF(C270="","",IFERROR(INDEX(Справочники!$B$6:$B$45,MATCH(C270,Справочники!$A$6:$A$45,0)),"нет в справочнике"))</f>
        <v/>
      </c>
      <c r="E270" s="20" t="n"/>
      <c r="F270" s="20" t="n"/>
      <c r="G270" s="20" t="n"/>
      <c r="H270" s="20" t="n"/>
      <c r="I270" s="18">
        <f>IF(C270="","",IFERROR(INDEX(Справочники!$C$6:$C$45,MATCH(C270,Справочники!$A$6:$A$45,0)),""))</f>
        <v/>
      </c>
      <c r="J270" s="22">
        <f>IF(C270="","",IFERROR(INDEX(Справочники!$E$6:$E$45,MATCH(C270,Справочники!$A$6:$A$45,0)),""))</f>
        <v/>
      </c>
      <c r="K270" s="23" t="n"/>
      <c r="L270" s="20" t="n"/>
      <c r="M270" s="19" t="n"/>
      <c r="N270" s="20" t="n"/>
      <c r="O270" s="23" t="n"/>
      <c r="P270" s="18">
        <f>IF(B270="","",IF(M270="",IF(L270="Карантин",INT(TODAY())-B270,""),M270-B270))</f>
        <v/>
      </c>
      <c r="Q270" s="18">
        <f>IF(C270="","",IFERROR(INDEX(Справочники!$D$6:$D$45,MATCH(C270,Справочники!$A$6:$A$45,0)),""))</f>
        <v/>
      </c>
    </row>
    <row r="271">
      <c r="A271" s="18">
        <f>IF(B271="","",ROW()-5)</f>
        <v/>
      </c>
      <c r="B271" s="19" t="n"/>
      <c r="C271" s="20" t="n"/>
      <c r="D271" s="21">
        <f>IF(C271="","",IFERROR(INDEX(Справочники!$B$6:$B$45,MATCH(C271,Справочники!$A$6:$A$45,0)),"нет в справочнике"))</f>
        <v/>
      </c>
      <c r="E271" s="20" t="n"/>
      <c r="F271" s="20" t="n"/>
      <c r="G271" s="20" t="n"/>
      <c r="H271" s="20" t="n"/>
      <c r="I271" s="18">
        <f>IF(C271="","",IFERROR(INDEX(Справочники!$C$6:$C$45,MATCH(C271,Справочники!$A$6:$A$45,0)),""))</f>
        <v/>
      </c>
      <c r="J271" s="22">
        <f>IF(C271="","",IFERROR(INDEX(Справочники!$E$6:$E$45,MATCH(C271,Справочники!$A$6:$A$45,0)),""))</f>
        <v/>
      </c>
      <c r="K271" s="23" t="n"/>
      <c r="L271" s="20" t="n"/>
      <c r="M271" s="19" t="n"/>
      <c r="N271" s="20" t="n"/>
      <c r="O271" s="23" t="n"/>
      <c r="P271" s="18">
        <f>IF(B271="","",IF(M271="",IF(L271="Карантин",INT(TODAY())-B271,""),M271-B271))</f>
        <v/>
      </c>
      <c r="Q271" s="18">
        <f>IF(C271="","",IFERROR(INDEX(Справочники!$D$6:$D$45,MATCH(C271,Справочники!$A$6:$A$45,0)),""))</f>
        <v/>
      </c>
    </row>
    <row r="272">
      <c r="A272" s="18">
        <f>IF(B272="","",ROW()-5)</f>
        <v/>
      </c>
      <c r="B272" s="19" t="n"/>
      <c r="C272" s="20" t="n"/>
      <c r="D272" s="21">
        <f>IF(C272="","",IFERROR(INDEX(Справочники!$B$6:$B$45,MATCH(C272,Справочники!$A$6:$A$45,0)),"нет в справочнике"))</f>
        <v/>
      </c>
      <c r="E272" s="20" t="n"/>
      <c r="F272" s="20" t="n"/>
      <c r="G272" s="20" t="n"/>
      <c r="H272" s="20" t="n"/>
      <c r="I272" s="18">
        <f>IF(C272="","",IFERROR(INDEX(Справочники!$C$6:$C$45,MATCH(C272,Справочники!$A$6:$A$45,0)),""))</f>
        <v/>
      </c>
      <c r="J272" s="22">
        <f>IF(C272="","",IFERROR(INDEX(Справочники!$E$6:$E$45,MATCH(C272,Справочники!$A$6:$A$45,0)),""))</f>
        <v/>
      </c>
      <c r="K272" s="23" t="n"/>
      <c r="L272" s="20" t="n"/>
      <c r="M272" s="19" t="n"/>
      <c r="N272" s="20" t="n"/>
      <c r="O272" s="23" t="n"/>
      <c r="P272" s="18">
        <f>IF(B272="","",IF(M272="",IF(L272="Карантин",INT(TODAY())-B272,""),M272-B272))</f>
        <v/>
      </c>
      <c r="Q272" s="18">
        <f>IF(C272="","",IFERROR(INDEX(Справочники!$D$6:$D$45,MATCH(C272,Справочники!$A$6:$A$45,0)),""))</f>
        <v/>
      </c>
    </row>
    <row r="273">
      <c r="A273" s="18">
        <f>IF(B273="","",ROW()-5)</f>
        <v/>
      </c>
      <c r="B273" s="19" t="n"/>
      <c r="C273" s="20" t="n"/>
      <c r="D273" s="21">
        <f>IF(C273="","",IFERROR(INDEX(Справочники!$B$6:$B$45,MATCH(C273,Справочники!$A$6:$A$45,0)),"нет в справочнике"))</f>
        <v/>
      </c>
      <c r="E273" s="20" t="n"/>
      <c r="F273" s="20" t="n"/>
      <c r="G273" s="20" t="n"/>
      <c r="H273" s="20" t="n"/>
      <c r="I273" s="18">
        <f>IF(C273="","",IFERROR(INDEX(Справочники!$C$6:$C$45,MATCH(C273,Справочники!$A$6:$A$45,0)),""))</f>
        <v/>
      </c>
      <c r="J273" s="22">
        <f>IF(C273="","",IFERROR(INDEX(Справочники!$E$6:$E$45,MATCH(C273,Справочники!$A$6:$A$45,0)),""))</f>
        <v/>
      </c>
      <c r="K273" s="23" t="n"/>
      <c r="L273" s="20" t="n"/>
      <c r="M273" s="19" t="n"/>
      <c r="N273" s="20" t="n"/>
      <c r="O273" s="23" t="n"/>
      <c r="P273" s="18">
        <f>IF(B273="","",IF(M273="",IF(L273="Карантин",INT(TODAY())-B273,""),M273-B273))</f>
        <v/>
      </c>
      <c r="Q273" s="18">
        <f>IF(C273="","",IFERROR(INDEX(Справочники!$D$6:$D$45,MATCH(C273,Справочники!$A$6:$A$45,0)),""))</f>
        <v/>
      </c>
    </row>
    <row r="274">
      <c r="A274" s="18">
        <f>IF(B274="","",ROW()-5)</f>
        <v/>
      </c>
      <c r="B274" s="19" t="n"/>
      <c r="C274" s="20" t="n"/>
      <c r="D274" s="21">
        <f>IF(C274="","",IFERROR(INDEX(Справочники!$B$6:$B$45,MATCH(C274,Справочники!$A$6:$A$45,0)),"нет в справочнике"))</f>
        <v/>
      </c>
      <c r="E274" s="20" t="n"/>
      <c r="F274" s="20" t="n"/>
      <c r="G274" s="20" t="n"/>
      <c r="H274" s="20" t="n"/>
      <c r="I274" s="18">
        <f>IF(C274="","",IFERROR(INDEX(Справочники!$C$6:$C$45,MATCH(C274,Справочники!$A$6:$A$45,0)),""))</f>
        <v/>
      </c>
      <c r="J274" s="22">
        <f>IF(C274="","",IFERROR(INDEX(Справочники!$E$6:$E$45,MATCH(C274,Справочники!$A$6:$A$45,0)),""))</f>
        <v/>
      </c>
      <c r="K274" s="23" t="n"/>
      <c r="L274" s="20" t="n"/>
      <c r="M274" s="19" t="n"/>
      <c r="N274" s="20" t="n"/>
      <c r="O274" s="23" t="n"/>
      <c r="P274" s="18">
        <f>IF(B274="","",IF(M274="",IF(L274="Карантин",INT(TODAY())-B274,""),M274-B274))</f>
        <v/>
      </c>
      <c r="Q274" s="18">
        <f>IF(C274="","",IFERROR(INDEX(Справочники!$D$6:$D$45,MATCH(C274,Справочники!$A$6:$A$45,0)),""))</f>
        <v/>
      </c>
    </row>
    <row r="275">
      <c r="A275" s="18">
        <f>IF(B275="","",ROW()-5)</f>
        <v/>
      </c>
      <c r="B275" s="19" t="n"/>
      <c r="C275" s="20" t="n"/>
      <c r="D275" s="21">
        <f>IF(C275="","",IFERROR(INDEX(Справочники!$B$6:$B$45,MATCH(C275,Справочники!$A$6:$A$45,0)),"нет в справочнике"))</f>
        <v/>
      </c>
      <c r="E275" s="20" t="n"/>
      <c r="F275" s="20" t="n"/>
      <c r="G275" s="20" t="n"/>
      <c r="H275" s="20" t="n"/>
      <c r="I275" s="18">
        <f>IF(C275="","",IFERROR(INDEX(Справочники!$C$6:$C$45,MATCH(C275,Справочники!$A$6:$A$45,0)),""))</f>
        <v/>
      </c>
      <c r="J275" s="22">
        <f>IF(C275="","",IFERROR(INDEX(Справочники!$E$6:$E$45,MATCH(C275,Справочники!$A$6:$A$45,0)),""))</f>
        <v/>
      </c>
      <c r="K275" s="23" t="n"/>
      <c r="L275" s="20" t="n"/>
      <c r="M275" s="19" t="n"/>
      <c r="N275" s="20" t="n"/>
      <c r="O275" s="23" t="n"/>
      <c r="P275" s="18">
        <f>IF(B275="","",IF(M275="",IF(L275="Карантин",INT(TODAY())-B275,""),M275-B275))</f>
        <v/>
      </c>
      <c r="Q275" s="18">
        <f>IF(C275="","",IFERROR(INDEX(Справочники!$D$6:$D$45,MATCH(C275,Справочники!$A$6:$A$45,0)),""))</f>
        <v/>
      </c>
    </row>
    <row r="276">
      <c r="A276" s="18">
        <f>IF(B276="","",ROW()-5)</f>
        <v/>
      </c>
      <c r="B276" s="19" t="n"/>
      <c r="C276" s="20" t="n"/>
      <c r="D276" s="21">
        <f>IF(C276="","",IFERROR(INDEX(Справочники!$B$6:$B$45,MATCH(C276,Справочники!$A$6:$A$45,0)),"нет в справочнике"))</f>
        <v/>
      </c>
      <c r="E276" s="20" t="n"/>
      <c r="F276" s="20" t="n"/>
      <c r="G276" s="20" t="n"/>
      <c r="H276" s="20" t="n"/>
      <c r="I276" s="18">
        <f>IF(C276="","",IFERROR(INDEX(Справочники!$C$6:$C$45,MATCH(C276,Справочники!$A$6:$A$45,0)),""))</f>
        <v/>
      </c>
      <c r="J276" s="22">
        <f>IF(C276="","",IFERROR(INDEX(Справочники!$E$6:$E$45,MATCH(C276,Справочники!$A$6:$A$45,0)),""))</f>
        <v/>
      </c>
      <c r="K276" s="23" t="n"/>
      <c r="L276" s="20" t="n"/>
      <c r="M276" s="19" t="n"/>
      <c r="N276" s="20" t="n"/>
      <c r="O276" s="23" t="n"/>
      <c r="P276" s="18">
        <f>IF(B276="","",IF(M276="",IF(L276="Карантин",INT(TODAY())-B276,""),M276-B276))</f>
        <v/>
      </c>
      <c r="Q276" s="18">
        <f>IF(C276="","",IFERROR(INDEX(Справочники!$D$6:$D$45,MATCH(C276,Справочники!$A$6:$A$45,0)),""))</f>
        <v/>
      </c>
    </row>
    <row r="277">
      <c r="A277" s="18">
        <f>IF(B277="","",ROW()-5)</f>
        <v/>
      </c>
      <c r="B277" s="19" t="n"/>
      <c r="C277" s="20" t="n"/>
      <c r="D277" s="21">
        <f>IF(C277="","",IFERROR(INDEX(Справочники!$B$6:$B$45,MATCH(C277,Справочники!$A$6:$A$45,0)),"нет в справочнике"))</f>
        <v/>
      </c>
      <c r="E277" s="20" t="n"/>
      <c r="F277" s="20" t="n"/>
      <c r="G277" s="20" t="n"/>
      <c r="H277" s="20" t="n"/>
      <c r="I277" s="18">
        <f>IF(C277="","",IFERROR(INDEX(Справочники!$C$6:$C$45,MATCH(C277,Справочники!$A$6:$A$45,0)),""))</f>
        <v/>
      </c>
      <c r="J277" s="22">
        <f>IF(C277="","",IFERROR(INDEX(Справочники!$E$6:$E$45,MATCH(C277,Справочники!$A$6:$A$45,0)),""))</f>
        <v/>
      </c>
      <c r="K277" s="23" t="n"/>
      <c r="L277" s="20" t="n"/>
      <c r="M277" s="19" t="n"/>
      <c r="N277" s="20" t="n"/>
      <c r="O277" s="23" t="n"/>
      <c r="P277" s="18">
        <f>IF(B277="","",IF(M277="",IF(L277="Карантин",INT(TODAY())-B277,""),M277-B277))</f>
        <v/>
      </c>
      <c r="Q277" s="18">
        <f>IF(C277="","",IFERROR(INDEX(Справочники!$D$6:$D$45,MATCH(C277,Справочники!$A$6:$A$45,0)),""))</f>
        <v/>
      </c>
    </row>
    <row r="278">
      <c r="A278" s="18">
        <f>IF(B278="","",ROW()-5)</f>
        <v/>
      </c>
      <c r="B278" s="19" t="n"/>
      <c r="C278" s="20" t="n"/>
      <c r="D278" s="21">
        <f>IF(C278="","",IFERROR(INDEX(Справочники!$B$6:$B$45,MATCH(C278,Справочники!$A$6:$A$45,0)),"нет в справочнике"))</f>
        <v/>
      </c>
      <c r="E278" s="20" t="n"/>
      <c r="F278" s="20" t="n"/>
      <c r="G278" s="20" t="n"/>
      <c r="H278" s="20" t="n"/>
      <c r="I278" s="18">
        <f>IF(C278="","",IFERROR(INDEX(Справочники!$C$6:$C$45,MATCH(C278,Справочники!$A$6:$A$45,0)),""))</f>
        <v/>
      </c>
      <c r="J278" s="22">
        <f>IF(C278="","",IFERROR(INDEX(Справочники!$E$6:$E$45,MATCH(C278,Справочники!$A$6:$A$45,0)),""))</f>
        <v/>
      </c>
      <c r="K278" s="23" t="n"/>
      <c r="L278" s="20" t="n"/>
      <c r="M278" s="19" t="n"/>
      <c r="N278" s="20" t="n"/>
      <c r="O278" s="23" t="n"/>
      <c r="P278" s="18">
        <f>IF(B278="","",IF(M278="",IF(L278="Карантин",INT(TODAY())-B278,""),M278-B278))</f>
        <v/>
      </c>
      <c r="Q278" s="18">
        <f>IF(C278="","",IFERROR(INDEX(Справочники!$D$6:$D$45,MATCH(C278,Справочники!$A$6:$A$45,0)),""))</f>
        <v/>
      </c>
    </row>
    <row r="279">
      <c r="A279" s="18">
        <f>IF(B279="","",ROW()-5)</f>
        <v/>
      </c>
      <c r="B279" s="19" t="n"/>
      <c r="C279" s="20" t="n"/>
      <c r="D279" s="21">
        <f>IF(C279="","",IFERROR(INDEX(Справочники!$B$6:$B$45,MATCH(C279,Справочники!$A$6:$A$45,0)),"нет в справочнике"))</f>
        <v/>
      </c>
      <c r="E279" s="20" t="n"/>
      <c r="F279" s="20" t="n"/>
      <c r="G279" s="20" t="n"/>
      <c r="H279" s="20" t="n"/>
      <c r="I279" s="18">
        <f>IF(C279="","",IFERROR(INDEX(Справочники!$C$6:$C$45,MATCH(C279,Справочники!$A$6:$A$45,0)),""))</f>
        <v/>
      </c>
      <c r="J279" s="22">
        <f>IF(C279="","",IFERROR(INDEX(Справочники!$E$6:$E$45,MATCH(C279,Справочники!$A$6:$A$45,0)),""))</f>
        <v/>
      </c>
      <c r="K279" s="23" t="n"/>
      <c r="L279" s="20" t="n"/>
      <c r="M279" s="19" t="n"/>
      <c r="N279" s="20" t="n"/>
      <c r="O279" s="23" t="n"/>
      <c r="P279" s="18">
        <f>IF(B279="","",IF(M279="",IF(L279="Карантин",INT(TODAY())-B279,""),M279-B279))</f>
        <v/>
      </c>
      <c r="Q279" s="18">
        <f>IF(C279="","",IFERROR(INDEX(Справочники!$D$6:$D$45,MATCH(C279,Справочники!$A$6:$A$45,0)),""))</f>
        <v/>
      </c>
    </row>
    <row r="280">
      <c r="A280" s="18">
        <f>IF(B280="","",ROW()-5)</f>
        <v/>
      </c>
      <c r="B280" s="19" t="n"/>
      <c r="C280" s="20" t="n"/>
      <c r="D280" s="21">
        <f>IF(C280="","",IFERROR(INDEX(Справочники!$B$6:$B$45,MATCH(C280,Справочники!$A$6:$A$45,0)),"нет в справочнике"))</f>
        <v/>
      </c>
      <c r="E280" s="20" t="n"/>
      <c r="F280" s="20" t="n"/>
      <c r="G280" s="20" t="n"/>
      <c r="H280" s="20" t="n"/>
      <c r="I280" s="18">
        <f>IF(C280="","",IFERROR(INDEX(Справочники!$C$6:$C$45,MATCH(C280,Справочники!$A$6:$A$45,0)),""))</f>
        <v/>
      </c>
      <c r="J280" s="22">
        <f>IF(C280="","",IFERROR(INDEX(Справочники!$E$6:$E$45,MATCH(C280,Справочники!$A$6:$A$45,0)),""))</f>
        <v/>
      </c>
      <c r="K280" s="23" t="n"/>
      <c r="L280" s="20" t="n"/>
      <c r="M280" s="19" t="n"/>
      <c r="N280" s="20" t="n"/>
      <c r="O280" s="23" t="n"/>
      <c r="P280" s="18">
        <f>IF(B280="","",IF(M280="",IF(L280="Карантин",INT(TODAY())-B280,""),M280-B280))</f>
        <v/>
      </c>
      <c r="Q280" s="18">
        <f>IF(C280="","",IFERROR(INDEX(Справочники!$D$6:$D$45,MATCH(C280,Справочники!$A$6:$A$45,0)),""))</f>
        <v/>
      </c>
    </row>
    <row r="281">
      <c r="A281" s="18">
        <f>IF(B281="","",ROW()-5)</f>
        <v/>
      </c>
      <c r="B281" s="19" t="n"/>
      <c r="C281" s="20" t="n"/>
      <c r="D281" s="21">
        <f>IF(C281="","",IFERROR(INDEX(Справочники!$B$6:$B$45,MATCH(C281,Справочники!$A$6:$A$45,0)),"нет в справочнике"))</f>
        <v/>
      </c>
      <c r="E281" s="20" t="n"/>
      <c r="F281" s="20" t="n"/>
      <c r="G281" s="20" t="n"/>
      <c r="H281" s="20" t="n"/>
      <c r="I281" s="18">
        <f>IF(C281="","",IFERROR(INDEX(Справочники!$C$6:$C$45,MATCH(C281,Справочники!$A$6:$A$45,0)),""))</f>
        <v/>
      </c>
      <c r="J281" s="22">
        <f>IF(C281="","",IFERROR(INDEX(Справочники!$E$6:$E$45,MATCH(C281,Справочники!$A$6:$A$45,0)),""))</f>
        <v/>
      </c>
      <c r="K281" s="23" t="n"/>
      <c r="L281" s="20" t="n"/>
      <c r="M281" s="19" t="n"/>
      <c r="N281" s="20" t="n"/>
      <c r="O281" s="23" t="n"/>
      <c r="P281" s="18">
        <f>IF(B281="","",IF(M281="",IF(L281="Карантин",INT(TODAY())-B281,""),M281-B281))</f>
        <v/>
      </c>
      <c r="Q281" s="18">
        <f>IF(C281="","",IFERROR(INDEX(Справочники!$D$6:$D$45,MATCH(C281,Справочники!$A$6:$A$45,0)),""))</f>
        <v/>
      </c>
    </row>
    <row r="282">
      <c r="A282" s="18">
        <f>IF(B282="","",ROW()-5)</f>
        <v/>
      </c>
      <c r="B282" s="19" t="n"/>
      <c r="C282" s="20" t="n"/>
      <c r="D282" s="21">
        <f>IF(C282="","",IFERROR(INDEX(Справочники!$B$6:$B$45,MATCH(C282,Справочники!$A$6:$A$45,0)),"нет в справочнике"))</f>
        <v/>
      </c>
      <c r="E282" s="20" t="n"/>
      <c r="F282" s="20" t="n"/>
      <c r="G282" s="20" t="n"/>
      <c r="H282" s="20" t="n"/>
      <c r="I282" s="18">
        <f>IF(C282="","",IFERROR(INDEX(Справочники!$C$6:$C$45,MATCH(C282,Справочники!$A$6:$A$45,0)),""))</f>
        <v/>
      </c>
      <c r="J282" s="22">
        <f>IF(C282="","",IFERROR(INDEX(Справочники!$E$6:$E$45,MATCH(C282,Справочники!$A$6:$A$45,0)),""))</f>
        <v/>
      </c>
      <c r="K282" s="23" t="n"/>
      <c r="L282" s="20" t="n"/>
      <c r="M282" s="19" t="n"/>
      <c r="N282" s="20" t="n"/>
      <c r="O282" s="23" t="n"/>
      <c r="P282" s="18">
        <f>IF(B282="","",IF(M282="",IF(L282="Карантин",INT(TODAY())-B282,""),M282-B282))</f>
        <v/>
      </c>
      <c r="Q282" s="18">
        <f>IF(C282="","",IFERROR(INDEX(Справочники!$D$6:$D$45,MATCH(C282,Справочники!$A$6:$A$45,0)),""))</f>
        <v/>
      </c>
    </row>
    <row r="283">
      <c r="A283" s="18">
        <f>IF(B283="","",ROW()-5)</f>
        <v/>
      </c>
      <c r="B283" s="19" t="n"/>
      <c r="C283" s="20" t="n"/>
      <c r="D283" s="21">
        <f>IF(C283="","",IFERROR(INDEX(Справочники!$B$6:$B$45,MATCH(C283,Справочники!$A$6:$A$45,0)),"нет в справочнике"))</f>
        <v/>
      </c>
      <c r="E283" s="20" t="n"/>
      <c r="F283" s="20" t="n"/>
      <c r="G283" s="20" t="n"/>
      <c r="H283" s="20" t="n"/>
      <c r="I283" s="18">
        <f>IF(C283="","",IFERROR(INDEX(Справочники!$C$6:$C$45,MATCH(C283,Справочники!$A$6:$A$45,0)),""))</f>
        <v/>
      </c>
      <c r="J283" s="22">
        <f>IF(C283="","",IFERROR(INDEX(Справочники!$E$6:$E$45,MATCH(C283,Справочники!$A$6:$A$45,0)),""))</f>
        <v/>
      </c>
      <c r="K283" s="23" t="n"/>
      <c r="L283" s="20" t="n"/>
      <c r="M283" s="19" t="n"/>
      <c r="N283" s="20" t="n"/>
      <c r="O283" s="23" t="n"/>
      <c r="P283" s="18">
        <f>IF(B283="","",IF(M283="",IF(L283="Карантин",INT(TODAY())-B283,""),M283-B283))</f>
        <v/>
      </c>
      <c r="Q283" s="18">
        <f>IF(C283="","",IFERROR(INDEX(Справочники!$D$6:$D$45,MATCH(C283,Справочники!$A$6:$A$45,0)),""))</f>
        <v/>
      </c>
    </row>
    <row r="284">
      <c r="A284" s="18">
        <f>IF(B284="","",ROW()-5)</f>
        <v/>
      </c>
      <c r="B284" s="19" t="n"/>
      <c r="C284" s="20" t="n"/>
      <c r="D284" s="21">
        <f>IF(C284="","",IFERROR(INDEX(Справочники!$B$6:$B$45,MATCH(C284,Справочники!$A$6:$A$45,0)),"нет в справочнике"))</f>
        <v/>
      </c>
      <c r="E284" s="20" t="n"/>
      <c r="F284" s="20" t="n"/>
      <c r="G284" s="20" t="n"/>
      <c r="H284" s="20" t="n"/>
      <c r="I284" s="18">
        <f>IF(C284="","",IFERROR(INDEX(Справочники!$C$6:$C$45,MATCH(C284,Справочники!$A$6:$A$45,0)),""))</f>
        <v/>
      </c>
      <c r="J284" s="22">
        <f>IF(C284="","",IFERROR(INDEX(Справочники!$E$6:$E$45,MATCH(C284,Справочники!$A$6:$A$45,0)),""))</f>
        <v/>
      </c>
      <c r="K284" s="23" t="n"/>
      <c r="L284" s="20" t="n"/>
      <c r="M284" s="19" t="n"/>
      <c r="N284" s="20" t="n"/>
      <c r="O284" s="23" t="n"/>
      <c r="P284" s="18">
        <f>IF(B284="","",IF(M284="",IF(L284="Карантин",INT(TODAY())-B284,""),M284-B284))</f>
        <v/>
      </c>
      <c r="Q284" s="18">
        <f>IF(C284="","",IFERROR(INDEX(Справочники!$D$6:$D$45,MATCH(C284,Справочники!$A$6:$A$45,0)),""))</f>
        <v/>
      </c>
    </row>
    <row r="285">
      <c r="A285" s="18">
        <f>IF(B285="","",ROW()-5)</f>
        <v/>
      </c>
      <c r="B285" s="19" t="n"/>
      <c r="C285" s="20" t="n"/>
      <c r="D285" s="21">
        <f>IF(C285="","",IFERROR(INDEX(Справочники!$B$6:$B$45,MATCH(C285,Справочники!$A$6:$A$45,0)),"нет в справочнике"))</f>
        <v/>
      </c>
      <c r="E285" s="20" t="n"/>
      <c r="F285" s="20" t="n"/>
      <c r="G285" s="20" t="n"/>
      <c r="H285" s="20" t="n"/>
      <c r="I285" s="18">
        <f>IF(C285="","",IFERROR(INDEX(Справочники!$C$6:$C$45,MATCH(C285,Справочники!$A$6:$A$45,0)),""))</f>
        <v/>
      </c>
      <c r="J285" s="22">
        <f>IF(C285="","",IFERROR(INDEX(Справочники!$E$6:$E$45,MATCH(C285,Справочники!$A$6:$A$45,0)),""))</f>
        <v/>
      </c>
      <c r="K285" s="23" t="n"/>
      <c r="L285" s="20" t="n"/>
      <c r="M285" s="19" t="n"/>
      <c r="N285" s="20" t="n"/>
      <c r="O285" s="23" t="n"/>
      <c r="P285" s="18">
        <f>IF(B285="","",IF(M285="",IF(L285="Карантин",INT(TODAY())-B285,""),M285-B285))</f>
        <v/>
      </c>
      <c r="Q285" s="18">
        <f>IF(C285="","",IFERROR(INDEX(Справочники!$D$6:$D$45,MATCH(C285,Справочники!$A$6:$A$45,0)),""))</f>
        <v/>
      </c>
    </row>
    <row r="286">
      <c r="A286" s="18">
        <f>IF(B286="","",ROW()-5)</f>
        <v/>
      </c>
      <c r="B286" s="19" t="n"/>
      <c r="C286" s="20" t="n"/>
      <c r="D286" s="21">
        <f>IF(C286="","",IFERROR(INDEX(Справочники!$B$6:$B$45,MATCH(C286,Справочники!$A$6:$A$45,0)),"нет в справочнике"))</f>
        <v/>
      </c>
      <c r="E286" s="20" t="n"/>
      <c r="F286" s="20" t="n"/>
      <c r="G286" s="20" t="n"/>
      <c r="H286" s="20" t="n"/>
      <c r="I286" s="18">
        <f>IF(C286="","",IFERROR(INDEX(Справочники!$C$6:$C$45,MATCH(C286,Справочники!$A$6:$A$45,0)),""))</f>
        <v/>
      </c>
      <c r="J286" s="22">
        <f>IF(C286="","",IFERROR(INDEX(Справочники!$E$6:$E$45,MATCH(C286,Справочники!$A$6:$A$45,0)),""))</f>
        <v/>
      </c>
      <c r="K286" s="23" t="n"/>
      <c r="L286" s="20" t="n"/>
      <c r="M286" s="19" t="n"/>
      <c r="N286" s="20" t="n"/>
      <c r="O286" s="23" t="n"/>
      <c r="P286" s="18">
        <f>IF(B286="","",IF(M286="",IF(L286="Карантин",INT(TODAY())-B286,""),M286-B286))</f>
        <v/>
      </c>
      <c r="Q286" s="18">
        <f>IF(C286="","",IFERROR(INDEX(Справочники!$D$6:$D$45,MATCH(C286,Справочники!$A$6:$A$45,0)),""))</f>
        <v/>
      </c>
    </row>
    <row r="287">
      <c r="A287" s="18">
        <f>IF(B287="","",ROW()-5)</f>
        <v/>
      </c>
      <c r="B287" s="19" t="n"/>
      <c r="C287" s="20" t="n"/>
      <c r="D287" s="21">
        <f>IF(C287="","",IFERROR(INDEX(Справочники!$B$6:$B$45,MATCH(C287,Справочники!$A$6:$A$45,0)),"нет в справочнике"))</f>
        <v/>
      </c>
      <c r="E287" s="20" t="n"/>
      <c r="F287" s="20" t="n"/>
      <c r="G287" s="20" t="n"/>
      <c r="H287" s="20" t="n"/>
      <c r="I287" s="18">
        <f>IF(C287="","",IFERROR(INDEX(Справочники!$C$6:$C$45,MATCH(C287,Справочники!$A$6:$A$45,0)),""))</f>
        <v/>
      </c>
      <c r="J287" s="22">
        <f>IF(C287="","",IFERROR(INDEX(Справочники!$E$6:$E$45,MATCH(C287,Справочники!$A$6:$A$45,0)),""))</f>
        <v/>
      </c>
      <c r="K287" s="23" t="n"/>
      <c r="L287" s="20" t="n"/>
      <c r="M287" s="19" t="n"/>
      <c r="N287" s="20" t="n"/>
      <c r="O287" s="23" t="n"/>
      <c r="P287" s="18">
        <f>IF(B287="","",IF(M287="",IF(L287="Карантин",INT(TODAY())-B287,""),M287-B287))</f>
        <v/>
      </c>
      <c r="Q287" s="18">
        <f>IF(C287="","",IFERROR(INDEX(Справочники!$D$6:$D$45,MATCH(C287,Справочники!$A$6:$A$45,0)),""))</f>
        <v/>
      </c>
    </row>
    <row r="288">
      <c r="A288" s="18">
        <f>IF(B288="","",ROW()-5)</f>
        <v/>
      </c>
      <c r="B288" s="19" t="n"/>
      <c r="C288" s="20" t="n"/>
      <c r="D288" s="21">
        <f>IF(C288="","",IFERROR(INDEX(Справочники!$B$6:$B$45,MATCH(C288,Справочники!$A$6:$A$45,0)),"нет в справочнике"))</f>
        <v/>
      </c>
      <c r="E288" s="20" t="n"/>
      <c r="F288" s="20" t="n"/>
      <c r="G288" s="20" t="n"/>
      <c r="H288" s="20" t="n"/>
      <c r="I288" s="18">
        <f>IF(C288="","",IFERROR(INDEX(Справочники!$C$6:$C$45,MATCH(C288,Справочники!$A$6:$A$45,0)),""))</f>
        <v/>
      </c>
      <c r="J288" s="22">
        <f>IF(C288="","",IFERROR(INDEX(Справочники!$E$6:$E$45,MATCH(C288,Справочники!$A$6:$A$45,0)),""))</f>
        <v/>
      </c>
      <c r="K288" s="23" t="n"/>
      <c r="L288" s="20" t="n"/>
      <c r="M288" s="19" t="n"/>
      <c r="N288" s="20" t="n"/>
      <c r="O288" s="23" t="n"/>
      <c r="P288" s="18">
        <f>IF(B288="","",IF(M288="",IF(L288="Карантин",INT(TODAY())-B288,""),M288-B288))</f>
        <v/>
      </c>
      <c r="Q288" s="18">
        <f>IF(C288="","",IFERROR(INDEX(Справочники!$D$6:$D$45,MATCH(C288,Справочники!$A$6:$A$45,0)),""))</f>
        <v/>
      </c>
    </row>
    <row r="289">
      <c r="A289" s="18">
        <f>IF(B289="","",ROW()-5)</f>
        <v/>
      </c>
      <c r="B289" s="19" t="n"/>
      <c r="C289" s="20" t="n"/>
      <c r="D289" s="21">
        <f>IF(C289="","",IFERROR(INDEX(Справочники!$B$6:$B$45,MATCH(C289,Справочники!$A$6:$A$45,0)),"нет в справочнике"))</f>
        <v/>
      </c>
      <c r="E289" s="20" t="n"/>
      <c r="F289" s="20" t="n"/>
      <c r="G289" s="20" t="n"/>
      <c r="H289" s="20" t="n"/>
      <c r="I289" s="18">
        <f>IF(C289="","",IFERROR(INDEX(Справочники!$C$6:$C$45,MATCH(C289,Справочники!$A$6:$A$45,0)),""))</f>
        <v/>
      </c>
      <c r="J289" s="22">
        <f>IF(C289="","",IFERROR(INDEX(Справочники!$E$6:$E$45,MATCH(C289,Справочники!$A$6:$A$45,0)),""))</f>
        <v/>
      </c>
      <c r="K289" s="23" t="n"/>
      <c r="L289" s="20" t="n"/>
      <c r="M289" s="19" t="n"/>
      <c r="N289" s="20" t="n"/>
      <c r="O289" s="23" t="n"/>
      <c r="P289" s="18">
        <f>IF(B289="","",IF(M289="",IF(L289="Карантин",INT(TODAY())-B289,""),M289-B289))</f>
        <v/>
      </c>
      <c r="Q289" s="18">
        <f>IF(C289="","",IFERROR(INDEX(Справочники!$D$6:$D$45,MATCH(C289,Справочники!$A$6:$A$45,0)),""))</f>
        <v/>
      </c>
    </row>
    <row r="290">
      <c r="A290" s="18">
        <f>IF(B290="","",ROW()-5)</f>
        <v/>
      </c>
      <c r="B290" s="19" t="n"/>
      <c r="C290" s="20" t="n"/>
      <c r="D290" s="21">
        <f>IF(C290="","",IFERROR(INDEX(Справочники!$B$6:$B$45,MATCH(C290,Справочники!$A$6:$A$45,0)),"нет в справочнике"))</f>
        <v/>
      </c>
      <c r="E290" s="20" t="n"/>
      <c r="F290" s="20" t="n"/>
      <c r="G290" s="20" t="n"/>
      <c r="H290" s="20" t="n"/>
      <c r="I290" s="18">
        <f>IF(C290="","",IFERROR(INDEX(Справочники!$C$6:$C$45,MATCH(C290,Справочники!$A$6:$A$45,0)),""))</f>
        <v/>
      </c>
      <c r="J290" s="22">
        <f>IF(C290="","",IFERROR(INDEX(Справочники!$E$6:$E$45,MATCH(C290,Справочники!$A$6:$A$45,0)),""))</f>
        <v/>
      </c>
      <c r="K290" s="23" t="n"/>
      <c r="L290" s="20" t="n"/>
      <c r="M290" s="19" t="n"/>
      <c r="N290" s="20" t="n"/>
      <c r="O290" s="23" t="n"/>
      <c r="P290" s="18">
        <f>IF(B290="","",IF(M290="",IF(L290="Карантин",INT(TODAY())-B290,""),M290-B290))</f>
        <v/>
      </c>
      <c r="Q290" s="18">
        <f>IF(C290="","",IFERROR(INDEX(Справочники!$D$6:$D$45,MATCH(C290,Справочники!$A$6:$A$45,0)),""))</f>
        <v/>
      </c>
    </row>
    <row r="291">
      <c r="A291" s="18">
        <f>IF(B291="","",ROW()-5)</f>
        <v/>
      </c>
      <c r="B291" s="19" t="n"/>
      <c r="C291" s="20" t="n"/>
      <c r="D291" s="21">
        <f>IF(C291="","",IFERROR(INDEX(Справочники!$B$6:$B$45,MATCH(C291,Справочники!$A$6:$A$45,0)),"нет в справочнике"))</f>
        <v/>
      </c>
      <c r="E291" s="20" t="n"/>
      <c r="F291" s="20" t="n"/>
      <c r="G291" s="20" t="n"/>
      <c r="H291" s="20" t="n"/>
      <c r="I291" s="18">
        <f>IF(C291="","",IFERROR(INDEX(Справочники!$C$6:$C$45,MATCH(C291,Справочники!$A$6:$A$45,0)),""))</f>
        <v/>
      </c>
      <c r="J291" s="22">
        <f>IF(C291="","",IFERROR(INDEX(Справочники!$E$6:$E$45,MATCH(C291,Справочники!$A$6:$A$45,0)),""))</f>
        <v/>
      </c>
      <c r="K291" s="23" t="n"/>
      <c r="L291" s="20" t="n"/>
      <c r="M291" s="19" t="n"/>
      <c r="N291" s="20" t="n"/>
      <c r="O291" s="23" t="n"/>
      <c r="P291" s="18">
        <f>IF(B291="","",IF(M291="",IF(L291="Карантин",INT(TODAY())-B291,""),M291-B291))</f>
        <v/>
      </c>
      <c r="Q291" s="18">
        <f>IF(C291="","",IFERROR(INDEX(Справочники!$D$6:$D$45,MATCH(C291,Справочники!$A$6:$A$45,0)),""))</f>
        <v/>
      </c>
    </row>
    <row r="292">
      <c r="A292" s="18">
        <f>IF(B292="","",ROW()-5)</f>
        <v/>
      </c>
      <c r="B292" s="19" t="n"/>
      <c r="C292" s="20" t="n"/>
      <c r="D292" s="21">
        <f>IF(C292="","",IFERROR(INDEX(Справочники!$B$6:$B$45,MATCH(C292,Справочники!$A$6:$A$45,0)),"нет в справочнике"))</f>
        <v/>
      </c>
      <c r="E292" s="20" t="n"/>
      <c r="F292" s="20" t="n"/>
      <c r="G292" s="20" t="n"/>
      <c r="H292" s="20" t="n"/>
      <c r="I292" s="18">
        <f>IF(C292="","",IFERROR(INDEX(Справочники!$C$6:$C$45,MATCH(C292,Справочники!$A$6:$A$45,0)),""))</f>
        <v/>
      </c>
      <c r="J292" s="22">
        <f>IF(C292="","",IFERROR(INDEX(Справочники!$E$6:$E$45,MATCH(C292,Справочники!$A$6:$A$45,0)),""))</f>
        <v/>
      </c>
      <c r="K292" s="23" t="n"/>
      <c r="L292" s="20" t="n"/>
      <c r="M292" s="19" t="n"/>
      <c r="N292" s="20" t="n"/>
      <c r="O292" s="23" t="n"/>
      <c r="P292" s="18">
        <f>IF(B292="","",IF(M292="",IF(L292="Карантин",INT(TODAY())-B292,""),M292-B292))</f>
        <v/>
      </c>
      <c r="Q292" s="18">
        <f>IF(C292="","",IFERROR(INDEX(Справочники!$D$6:$D$45,MATCH(C292,Справочники!$A$6:$A$45,0)),""))</f>
        <v/>
      </c>
    </row>
    <row r="293">
      <c r="A293" s="18">
        <f>IF(B293="","",ROW()-5)</f>
        <v/>
      </c>
      <c r="B293" s="19" t="n"/>
      <c r="C293" s="20" t="n"/>
      <c r="D293" s="21">
        <f>IF(C293="","",IFERROR(INDEX(Справочники!$B$6:$B$45,MATCH(C293,Справочники!$A$6:$A$45,0)),"нет в справочнике"))</f>
        <v/>
      </c>
      <c r="E293" s="20" t="n"/>
      <c r="F293" s="20" t="n"/>
      <c r="G293" s="20" t="n"/>
      <c r="H293" s="20" t="n"/>
      <c r="I293" s="18">
        <f>IF(C293="","",IFERROR(INDEX(Справочники!$C$6:$C$45,MATCH(C293,Справочники!$A$6:$A$45,0)),""))</f>
        <v/>
      </c>
      <c r="J293" s="22">
        <f>IF(C293="","",IFERROR(INDEX(Справочники!$E$6:$E$45,MATCH(C293,Справочники!$A$6:$A$45,0)),""))</f>
        <v/>
      </c>
      <c r="K293" s="23" t="n"/>
      <c r="L293" s="20" t="n"/>
      <c r="M293" s="19" t="n"/>
      <c r="N293" s="20" t="n"/>
      <c r="O293" s="23" t="n"/>
      <c r="P293" s="18">
        <f>IF(B293="","",IF(M293="",IF(L293="Карантин",INT(TODAY())-B293,""),M293-B293))</f>
        <v/>
      </c>
      <c r="Q293" s="18">
        <f>IF(C293="","",IFERROR(INDEX(Справочники!$D$6:$D$45,MATCH(C293,Справочники!$A$6:$A$45,0)),""))</f>
        <v/>
      </c>
    </row>
    <row r="294">
      <c r="A294" s="18">
        <f>IF(B294="","",ROW()-5)</f>
        <v/>
      </c>
      <c r="B294" s="19" t="n"/>
      <c r="C294" s="20" t="n"/>
      <c r="D294" s="21">
        <f>IF(C294="","",IFERROR(INDEX(Справочники!$B$6:$B$45,MATCH(C294,Справочники!$A$6:$A$45,0)),"нет в справочнике"))</f>
        <v/>
      </c>
      <c r="E294" s="20" t="n"/>
      <c r="F294" s="20" t="n"/>
      <c r="G294" s="20" t="n"/>
      <c r="H294" s="20" t="n"/>
      <c r="I294" s="18">
        <f>IF(C294="","",IFERROR(INDEX(Справочники!$C$6:$C$45,MATCH(C294,Справочники!$A$6:$A$45,0)),""))</f>
        <v/>
      </c>
      <c r="J294" s="22">
        <f>IF(C294="","",IFERROR(INDEX(Справочники!$E$6:$E$45,MATCH(C294,Справочники!$A$6:$A$45,0)),""))</f>
        <v/>
      </c>
      <c r="K294" s="23" t="n"/>
      <c r="L294" s="20" t="n"/>
      <c r="M294" s="19" t="n"/>
      <c r="N294" s="20" t="n"/>
      <c r="O294" s="23" t="n"/>
      <c r="P294" s="18">
        <f>IF(B294="","",IF(M294="",IF(L294="Карантин",INT(TODAY())-B294,""),M294-B294))</f>
        <v/>
      </c>
      <c r="Q294" s="18">
        <f>IF(C294="","",IFERROR(INDEX(Справочники!$D$6:$D$45,MATCH(C294,Справочники!$A$6:$A$45,0)),""))</f>
        <v/>
      </c>
    </row>
    <row r="295">
      <c r="A295" s="18">
        <f>IF(B295="","",ROW()-5)</f>
        <v/>
      </c>
      <c r="B295" s="19" t="n"/>
      <c r="C295" s="20" t="n"/>
      <c r="D295" s="21">
        <f>IF(C295="","",IFERROR(INDEX(Справочники!$B$6:$B$45,MATCH(C295,Справочники!$A$6:$A$45,0)),"нет в справочнике"))</f>
        <v/>
      </c>
      <c r="E295" s="20" t="n"/>
      <c r="F295" s="20" t="n"/>
      <c r="G295" s="20" t="n"/>
      <c r="H295" s="20" t="n"/>
      <c r="I295" s="18">
        <f>IF(C295="","",IFERROR(INDEX(Справочники!$C$6:$C$45,MATCH(C295,Справочники!$A$6:$A$45,0)),""))</f>
        <v/>
      </c>
      <c r="J295" s="22">
        <f>IF(C295="","",IFERROR(INDEX(Справочники!$E$6:$E$45,MATCH(C295,Справочники!$A$6:$A$45,0)),""))</f>
        <v/>
      </c>
      <c r="K295" s="23" t="n"/>
      <c r="L295" s="20" t="n"/>
      <c r="M295" s="19" t="n"/>
      <c r="N295" s="20" t="n"/>
      <c r="O295" s="23" t="n"/>
      <c r="P295" s="18">
        <f>IF(B295="","",IF(M295="",IF(L295="Карантин",INT(TODAY())-B295,""),M295-B295))</f>
        <v/>
      </c>
      <c r="Q295" s="18">
        <f>IF(C295="","",IFERROR(INDEX(Справочники!$D$6:$D$45,MATCH(C295,Справочники!$A$6:$A$45,0)),""))</f>
        <v/>
      </c>
    </row>
    <row r="296">
      <c r="A296" s="18">
        <f>IF(B296="","",ROW()-5)</f>
        <v/>
      </c>
      <c r="B296" s="19" t="n"/>
      <c r="C296" s="20" t="n"/>
      <c r="D296" s="21">
        <f>IF(C296="","",IFERROR(INDEX(Справочники!$B$6:$B$45,MATCH(C296,Справочники!$A$6:$A$45,0)),"нет в справочнике"))</f>
        <v/>
      </c>
      <c r="E296" s="20" t="n"/>
      <c r="F296" s="20" t="n"/>
      <c r="G296" s="20" t="n"/>
      <c r="H296" s="20" t="n"/>
      <c r="I296" s="18">
        <f>IF(C296="","",IFERROR(INDEX(Справочники!$C$6:$C$45,MATCH(C296,Справочники!$A$6:$A$45,0)),""))</f>
        <v/>
      </c>
      <c r="J296" s="22">
        <f>IF(C296="","",IFERROR(INDEX(Справочники!$E$6:$E$45,MATCH(C296,Справочники!$A$6:$A$45,0)),""))</f>
        <v/>
      </c>
      <c r="K296" s="23" t="n"/>
      <c r="L296" s="20" t="n"/>
      <c r="M296" s="19" t="n"/>
      <c r="N296" s="20" t="n"/>
      <c r="O296" s="23" t="n"/>
      <c r="P296" s="18">
        <f>IF(B296="","",IF(M296="",IF(L296="Карантин",INT(TODAY())-B296,""),M296-B296))</f>
        <v/>
      </c>
      <c r="Q296" s="18">
        <f>IF(C296="","",IFERROR(INDEX(Справочники!$D$6:$D$45,MATCH(C296,Справочники!$A$6:$A$45,0)),""))</f>
        <v/>
      </c>
    </row>
    <row r="297">
      <c r="A297" s="18">
        <f>IF(B297="","",ROW()-5)</f>
        <v/>
      </c>
      <c r="B297" s="19" t="n"/>
      <c r="C297" s="20" t="n"/>
      <c r="D297" s="21">
        <f>IF(C297="","",IFERROR(INDEX(Справочники!$B$6:$B$45,MATCH(C297,Справочники!$A$6:$A$45,0)),"нет в справочнике"))</f>
        <v/>
      </c>
      <c r="E297" s="20" t="n"/>
      <c r="F297" s="20" t="n"/>
      <c r="G297" s="20" t="n"/>
      <c r="H297" s="20" t="n"/>
      <c r="I297" s="18">
        <f>IF(C297="","",IFERROR(INDEX(Справочники!$C$6:$C$45,MATCH(C297,Справочники!$A$6:$A$45,0)),""))</f>
        <v/>
      </c>
      <c r="J297" s="22">
        <f>IF(C297="","",IFERROR(INDEX(Справочники!$E$6:$E$45,MATCH(C297,Справочники!$A$6:$A$45,0)),""))</f>
        <v/>
      </c>
      <c r="K297" s="23" t="n"/>
      <c r="L297" s="20" t="n"/>
      <c r="M297" s="19" t="n"/>
      <c r="N297" s="20" t="n"/>
      <c r="O297" s="23" t="n"/>
      <c r="P297" s="18">
        <f>IF(B297="","",IF(M297="",IF(L297="Карантин",INT(TODAY())-B297,""),M297-B297))</f>
        <v/>
      </c>
      <c r="Q297" s="18">
        <f>IF(C297="","",IFERROR(INDEX(Справочники!$D$6:$D$45,MATCH(C297,Справочники!$A$6:$A$45,0)),""))</f>
        <v/>
      </c>
    </row>
    <row r="298">
      <c r="A298" s="18">
        <f>IF(B298="","",ROW()-5)</f>
        <v/>
      </c>
      <c r="B298" s="19" t="n"/>
      <c r="C298" s="20" t="n"/>
      <c r="D298" s="21">
        <f>IF(C298="","",IFERROR(INDEX(Справочники!$B$6:$B$45,MATCH(C298,Справочники!$A$6:$A$45,0)),"нет в справочнике"))</f>
        <v/>
      </c>
      <c r="E298" s="20" t="n"/>
      <c r="F298" s="20" t="n"/>
      <c r="G298" s="20" t="n"/>
      <c r="H298" s="20" t="n"/>
      <c r="I298" s="18">
        <f>IF(C298="","",IFERROR(INDEX(Справочники!$C$6:$C$45,MATCH(C298,Справочники!$A$6:$A$45,0)),""))</f>
        <v/>
      </c>
      <c r="J298" s="22">
        <f>IF(C298="","",IFERROR(INDEX(Справочники!$E$6:$E$45,MATCH(C298,Справочники!$A$6:$A$45,0)),""))</f>
        <v/>
      </c>
      <c r="K298" s="23" t="n"/>
      <c r="L298" s="20" t="n"/>
      <c r="M298" s="19" t="n"/>
      <c r="N298" s="20" t="n"/>
      <c r="O298" s="23" t="n"/>
      <c r="P298" s="18">
        <f>IF(B298="","",IF(M298="",IF(L298="Карантин",INT(TODAY())-B298,""),M298-B298))</f>
        <v/>
      </c>
      <c r="Q298" s="18">
        <f>IF(C298="","",IFERROR(INDEX(Справочники!$D$6:$D$45,MATCH(C298,Справочники!$A$6:$A$45,0)),""))</f>
        <v/>
      </c>
    </row>
    <row r="299">
      <c r="A299" s="18">
        <f>IF(B299="","",ROW()-5)</f>
        <v/>
      </c>
      <c r="B299" s="19" t="n"/>
      <c r="C299" s="20" t="n"/>
      <c r="D299" s="21">
        <f>IF(C299="","",IFERROR(INDEX(Справочники!$B$6:$B$45,MATCH(C299,Справочники!$A$6:$A$45,0)),"нет в справочнике"))</f>
        <v/>
      </c>
      <c r="E299" s="20" t="n"/>
      <c r="F299" s="20" t="n"/>
      <c r="G299" s="20" t="n"/>
      <c r="H299" s="20" t="n"/>
      <c r="I299" s="18">
        <f>IF(C299="","",IFERROR(INDEX(Справочники!$C$6:$C$45,MATCH(C299,Справочники!$A$6:$A$45,0)),""))</f>
        <v/>
      </c>
      <c r="J299" s="22">
        <f>IF(C299="","",IFERROR(INDEX(Справочники!$E$6:$E$45,MATCH(C299,Справочники!$A$6:$A$45,0)),""))</f>
        <v/>
      </c>
      <c r="K299" s="23" t="n"/>
      <c r="L299" s="20" t="n"/>
      <c r="M299" s="19" t="n"/>
      <c r="N299" s="20" t="n"/>
      <c r="O299" s="23" t="n"/>
      <c r="P299" s="18">
        <f>IF(B299="","",IF(M299="",IF(L299="Карантин",INT(TODAY())-B299,""),M299-B299))</f>
        <v/>
      </c>
      <c r="Q299" s="18">
        <f>IF(C299="","",IFERROR(INDEX(Справочники!$D$6:$D$45,MATCH(C299,Справочники!$A$6:$A$45,0)),""))</f>
        <v/>
      </c>
    </row>
    <row r="300">
      <c r="A300" s="18">
        <f>IF(B300="","",ROW()-5)</f>
        <v/>
      </c>
      <c r="B300" s="19" t="n"/>
      <c r="C300" s="20" t="n"/>
      <c r="D300" s="21">
        <f>IF(C300="","",IFERROR(INDEX(Справочники!$B$6:$B$45,MATCH(C300,Справочники!$A$6:$A$45,0)),"нет в справочнике"))</f>
        <v/>
      </c>
      <c r="E300" s="20" t="n"/>
      <c r="F300" s="20" t="n"/>
      <c r="G300" s="20" t="n"/>
      <c r="H300" s="20" t="n"/>
      <c r="I300" s="18">
        <f>IF(C300="","",IFERROR(INDEX(Справочники!$C$6:$C$45,MATCH(C300,Справочники!$A$6:$A$45,0)),""))</f>
        <v/>
      </c>
      <c r="J300" s="22">
        <f>IF(C300="","",IFERROR(INDEX(Справочники!$E$6:$E$45,MATCH(C300,Справочники!$A$6:$A$45,0)),""))</f>
        <v/>
      </c>
      <c r="K300" s="23" t="n"/>
      <c r="L300" s="20" t="n"/>
      <c r="M300" s="19" t="n"/>
      <c r="N300" s="20" t="n"/>
      <c r="O300" s="23" t="n"/>
      <c r="P300" s="18">
        <f>IF(B300="","",IF(M300="",IF(L300="Карантин",INT(TODAY())-B300,""),M300-B300))</f>
        <v/>
      </c>
      <c r="Q300" s="18">
        <f>IF(C300="","",IFERROR(INDEX(Справочники!$D$6:$D$45,MATCH(C300,Справочники!$A$6:$A$45,0)),""))</f>
        <v/>
      </c>
    </row>
    <row r="301">
      <c r="A301" s="18">
        <f>IF(B301="","",ROW()-5)</f>
        <v/>
      </c>
      <c r="B301" s="19" t="n"/>
      <c r="C301" s="20" t="n"/>
      <c r="D301" s="21">
        <f>IF(C301="","",IFERROR(INDEX(Справочники!$B$6:$B$45,MATCH(C301,Справочники!$A$6:$A$45,0)),"нет в справочнике"))</f>
        <v/>
      </c>
      <c r="E301" s="20" t="n"/>
      <c r="F301" s="20" t="n"/>
      <c r="G301" s="20" t="n"/>
      <c r="H301" s="20" t="n"/>
      <c r="I301" s="18">
        <f>IF(C301="","",IFERROR(INDEX(Справочники!$C$6:$C$45,MATCH(C301,Справочники!$A$6:$A$45,0)),""))</f>
        <v/>
      </c>
      <c r="J301" s="22">
        <f>IF(C301="","",IFERROR(INDEX(Справочники!$E$6:$E$45,MATCH(C301,Справочники!$A$6:$A$45,0)),""))</f>
        <v/>
      </c>
      <c r="K301" s="23" t="n"/>
      <c r="L301" s="20" t="n"/>
      <c r="M301" s="19" t="n"/>
      <c r="N301" s="20" t="n"/>
      <c r="O301" s="23" t="n"/>
      <c r="P301" s="18">
        <f>IF(B301="","",IF(M301="",IF(L301="Карантин",INT(TODAY())-B301,""),M301-B301))</f>
        <v/>
      </c>
      <c r="Q301" s="18">
        <f>IF(C301="","",IFERROR(INDEX(Справочники!$D$6:$D$45,MATCH(C301,Справочники!$A$6:$A$45,0)),""))</f>
        <v/>
      </c>
    </row>
    <row r="302">
      <c r="A302" s="18">
        <f>IF(B302="","",ROW()-5)</f>
        <v/>
      </c>
      <c r="B302" s="19" t="n"/>
      <c r="C302" s="20" t="n"/>
      <c r="D302" s="21">
        <f>IF(C302="","",IFERROR(INDEX(Справочники!$B$6:$B$45,MATCH(C302,Справочники!$A$6:$A$45,0)),"нет в справочнике"))</f>
        <v/>
      </c>
      <c r="E302" s="20" t="n"/>
      <c r="F302" s="20" t="n"/>
      <c r="G302" s="20" t="n"/>
      <c r="H302" s="20" t="n"/>
      <c r="I302" s="18">
        <f>IF(C302="","",IFERROR(INDEX(Справочники!$C$6:$C$45,MATCH(C302,Справочники!$A$6:$A$45,0)),""))</f>
        <v/>
      </c>
      <c r="J302" s="22">
        <f>IF(C302="","",IFERROR(INDEX(Справочники!$E$6:$E$45,MATCH(C302,Справочники!$A$6:$A$45,0)),""))</f>
        <v/>
      </c>
      <c r="K302" s="23" t="n"/>
      <c r="L302" s="20" t="n"/>
      <c r="M302" s="19" t="n"/>
      <c r="N302" s="20" t="n"/>
      <c r="O302" s="23" t="n"/>
      <c r="P302" s="18">
        <f>IF(B302="","",IF(M302="",IF(L302="Карантин",INT(TODAY())-B302,""),M302-B302))</f>
        <v/>
      </c>
      <c r="Q302" s="18">
        <f>IF(C302="","",IFERROR(INDEX(Справочники!$D$6:$D$45,MATCH(C302,Справочники!$A$6:$A$45,0)),""))</f>
        <v/>
      </c>
    </row>
    <row r="303">
      <c r="A303" s="18">
        <f>IF(B303="","",ROW()-5)</f>
        <v/>
      </c>
      <c r="B303" s="19" t="n"/>
      <c r="C303" s="20" t="n"/>
      <c r="D303" s="21">
        <f>IF(C303="","",IFERROR(INDEX(Справочники!$B$6:$B$45,MATCH(C303,Справочники!$A$6:$A$45,0)),"нет в справочнике"))</f>
        <v/>
      </c>
      <c r="E303" s="20" t="n"/>
      <c r="F303" s="20" t="n"/>
      <c r="G303" s="20" t="n"/>
      <c r="H303" s="20" t="n"/>
      <c r="I303" s="18">
        <f>IF(C303="","",IFERROR(INDEX(Справочники!$C$6:$C$45,MATCH(C303,Справочники!$A$6:$A$45,0)),""))</f>
        <v/>
      </c>
      <c r="J303" s="22">
        <f>IF(C303="","",IFERROR(INDEX(Справочники!$E$6:$E$45,MATCH(C303,Справочники!$A$6:$A$45,0)),""))</f>
        <v/>
      </c>
      <c r="K303" s="23" t="n"/>
      <c r="L303" s="20" t="n"/>
      <c r="M303" s="19" t="n"/>
      <c r="N303" s="20" t="n"/>
      <c r="O303" s="23" t="n"/>
      <c r="P303" s="18">
        <f>IF(B303="","",IF(M303="",IF(L303="Карантин",INT(TODAY())-B303,""),M303-B303))</f>
        <v/>
      </c>
      <c r="Q303" s="18">
        <f>IF(C303="","",IFERROR(INDEX(Справочники!$D$6:$D$45,MATCH(C303,Справочники!$A$6:$A$45,0)),""))</f>
        <v/>
      </c>
    </row>
    <row r="304">
      <c r="A304" s="18">
        <f>IF(B304="","",ROW()-5)</f>
        <v/>
      </c>
      <c r="B304" s="19" t="n"/>
      <c r="C304" s="20" t="n"/>
      <c r="D304" s="21">
        <f>IF(C304="","",IFERROR(INDEX(Справочники!$B$6:$B$45,MATCH(C304,Справочники!$A$6:$A$45,0)),"нет в справочнике"))</f>
        <v/>
      </c>
      <c r="E304" s="20" t="n"/>
      <c r="F304" s="20" t="n"/>
      <c r="G304" s="20" t="n"/>
      <c r="H304" s="20" t="n"/>
      <c r="I304" s="18">
        <f>IF(C304="","",IFERROR(INDEX(Справочники!$C$6:$C$45,MATCH(C304,Справочники!$A$6:$A$45,0)),""))</f>
        <v/>
      </c>
      <c r="J304" s="22">
        <f>IF(C304="","",IFERROR(INDEX(Справочники!$E$6:$E$45,MATCH(C304,Справочники!$A$6:$A$45,0)),""))</f>
        <v/>
      </c>
      <c r="K304" s="23" t="n"/>
      <c r="L304" s="20" t="n"/>
      <c r="M304" s="19" t="n"/>
      <c r="N304" s="20" t="n"/>
      <c r="O304" s="23" t="n"/>
      <c r="P304" s="18">
        <f>IF(B304="","",IF(M304="",IF(L304="Карантин",INT(TODAY())-B304,""),M304-B304))</f>
        <v/>
      </c>
      <c r="Q304" s="18">
        <f>IF(C304="","",IFERROR(INDEX(Справочники!$D$6:$D$45,MATCH(C304,Справочники!$A$6:$A$45,0)),""))</f>
        <v/>
      </c>
    </row>
    <row r="305">
      <c r="A305" s="18">
        <f>IF(B305="","",ROW()-5)</f>
        <v/>
      </c>
      <c r="B305" s="19" t="n"/>
      <c r="C305" s="20" t="n"/>
      <c r="D305" s="21">
        <f>IF(C305="","",IFERROR(INDEX(Справочники!$B$6:$B$45,MATCH(C305,Справочники!$A$6:$A$45,0)),"нет в справочнике"))</f>
        <v/>
      </c>
      <c r="E305" s="20" t="n"/>
      <c r="F305" s="20" t="n"/>
      <c r="G305" s="20" t="n"/>
      <c r="H305" s="20" t="n"/>
      <c r="I305" s="18">
        <f>IF(C305="","",IFERROR(INDEX(Справочники!$C$6:$C$45,MATCH(C305,Справочники!$A$6:$A$45,0)),""))</f>
        <v/>
      </c>
      <c r="J305" s="22">
        <f>IF(C305="","",IFERROR(INDEX(Справочники!$E$6:$E$45,MATCH(C305,Справочники!$A$6:$A$45,0)),""))</f>
        <v/>
      </c>
      <c r="K305" s="23" t="n"/>
      <c r="L305" s="20" t="n"/>
      <c r="M305" s="19" t="n"/>
      <c r="N305" s="20" t="n"/>
      <c r="O305" s="23" t="n"/>
      <c r="P305" s="18">
        <f>IF(B305="","",IF(M305="",IF(L305="Карантин",INT(TODAY())-B305,""),M305-B305))</f>
        <v/>
      </c>
      <c r="Q305" s="18">
        <f>IF(C305="","",IFERROR(INDEX(Справочники!$D$6:$D$45,MATCH(C305,Справочники!$A$6:$A$45,0)),""))</f>
        <v/>
      </c>
    </row>
    <row r="306">
      <c r="A306" s="18">
        <f>IF(B306="","",ROW()-5)</f>
        <v/>
      </c>
      <c r="B306" s="19" t="n"/>
      <c r="C306" s="20" t="n"/>
      <c r="D306" s="21">
        <f>IF(C306="","",IFERROR(INDEX(Справочники!$B$6:$B$45,MATCH(C306,Справочники!$A$6:$A$45,0)),"нет в справочнике"))</f>
        <v/>
      </c>
      <c r="E306" s="20" t="n"/>
      <c r="F306" s="20" t="n"/>
      <c r="G306" s="20" t="n"/>
      <c r="H306" s="20" t="n"/>
      <c r="I306" s="18">
        <f>IF(C306="","",IFERROR(INDEX(Справочники!$C$6:$C$45,MATCH(C306,Справочники!$A$6:$A$45,0)),""))</f>
        <v/>
      </c>
      <c r="J306" s="22">
        <f>IF(C306="","",IFERROR(INDEX(Справочники!$E$6:$E$45,MATCH(C306,Справочники!$A$6:$A$45,0)),""))</f>
        <v/>
      </c>
      <c r="K306" s="23" t="n"/>
      <c r="L306" s="20" t="n"/>
      <c r="M306" s="19" t="n"/>
      <c r="N306" s="20" t="n"/>
      <c r="O306" s="23" t="n"/>
      <c r="P306" s="18">
        <f>IF(B306="","",IF(M306="",IF(L306="Карантин",INT(TODAY())-B306,""),M306-B306))</f>
        <v/>
      </c>
      <c r="Q306" s="18">
        <f>IF(C306="","",IFERROR(INDEX(Справочники!$D$6:$D$45,MATCH(C306,Справочники!$A$6:$A$45,0)),""))</f>
        <v/>
      </c>
    </row>
    <row r="307">
      <c r="A307" s="18">
        <f>IF(B307="","",ROW()-5)</f>
        <v/>
      </c>
      <c r="B307" s="19" t="n"/>
      <c r="C307" s="20" t="n"/>
      <c r="D307" s="21">
        <f>IF(C307="","",IFERROR(INDEX(Справочники!$B$6:$B$45,MATCH(C307,Справочники!$A$6:$A$45,0)),"нет в справочнике"))</f>
        <v/>
      </c>
      <c r="E307" s="20" t="n"/>
      <c r="F307" s="20" t="n"/>
      <c r="G307" s="20" t="n"/>
      <c r="H307" s="20" t="n"/>
      <c r="I307" s="18">
        <f>IF(C307="","",IFERROR(INDEX(Справочники!$C$6:$C$45,MATCH(C307,Справочники!$A$6:$A$45,0)),""))</f>
        <v/>
      </c>
      <c r="J307" s="22">
        <f>IF(C307="","",IFERROR(INDEX(Справочники!$E$6:$E$45,MATCH(C307,Справочники!$A$6:$A$45,0)),""))</f>
        <v/>
      </c>
      <c r="K307" s="23" t="n"/>
      <c r="L307" s="20" t="n"/>
      <c r="M307" s="19" t="n"/>
      <c r="N307" s="20" t="n"/>
      <c r="O307" s="23" t="n"/>
      <c r="P307" s="18">
        <f>IF(B307="","",IF(M307="",IF(L307="Карантин",INT(TODAY())-B307,""),M307-B307))</f>
        <v/>
      </c>
      <c r="Q307" s="18">
        <f>IF(C307="","",IFERROR(INDEX(Справочники!$D$6:$D$45,MATCH(C307,Справочники!$A$6:$A$45,0)),""))</f>
        <v/>
      </c>
    </row>
    <row r="308">
      <c r="A308" s="18">
        <f>IF(B308="","",ROW()-5)</f>
        <v/>
      </c>
      <c r="B308" s="19" t="n"/>
      <c r="C308" s="20" t="n"/>
      <c r="D308" s="21">
        <f>IF(C308="","",IFERROR(INDEX(Справочники!$B$6:$B$45,MATCH(C308,Справочники!$A$6:$A$45,0)),"нет в справочнике"))</f>
        <v/>
      </c>
      <c r="E308" s="20" t="n"/>
      <c r="F308" s="20" t="n"/>
      <c r="G308" s="20" t="n"/>
      <c r="H308" s="20" t="n"/>
      <c r="I308" s="18">
        <f>IF(C308="","",IFERROR(INDEX(Справочники!$C$6:$C$45,MATCH(C308,Справочники!$A$6:$A$45,0)),""))</f>
        <v/>
      </c>
      <c r="J308" s="22">
        <f>IF(C308="","",IFERROR(INDEX(Справочники!$E$6:$E$45,MATCH(C308,Справочники!$A$6:$A$45,0)),""))</f>
        <v/>
      </c>
      <c r="K308" s="23" t="n"/>
      <c r="L308" s="20" t="n"/>
      <c r="M308" s="19" t="n"/>
      <c r="N308" s="20" t="n"/>
      <c r="O308" s="23" t="n"/>
      <c r="P308" s="18">
        <f>IF(B308="","",IF(M308="",IF(L308="Карантин",INT(TODAY())-B308,""),M308-B308))</f>
        <v/>
      </c>
      <c r="Q308" s="18">
        <f>IF(C308="","",IFERROR(INDEX(Справочники!$D$6:$D$45,MATCH(C308,Справочники!$A$6:$A$45,0)),""))</f>
        <v/>
      </c>
    </row>
    <row r="309">
      <c r="A309" s="18">
        <f>IF(B309="","",ROW()-5)</f>
        <v/>
      </c>
      <c r="B309" s="19" t="n"/>
      <c r="C309" s="20" t="n"/>
      <c r="D309" s="21">
        <f>IF(C309="","",IFERROR(INDEX(Справочники!$B$6:$B$45,MATCH(C309,Справочники!$A$6:$A$45,0)),"нет в справочнике"))</f>
        <v/>
      </c>
      <c r="E309" s="20" t="n"/>
      <c r="F309" s="20" t="n"/>
      <c r="G309" s="20" t="n"/>
      <c r="H309" s="20" t="n"/>
      <c r="I309" s="18">
        <f>IF(C309="","",IFERROR(INDEX(Справочники!$C$6:$C$45,MATCH(C309,Справочники!$A$6:$A$45,0)),""))</f>
        <v/>
      </c>
      <c r="J309" s="22">
        <f>IF(C309="","",IFERROR(INDEX(Справочники!$E$6:$E$45,MATCH(C309,Справочники!$A$6:$A$45,0)),""))</f>
        <v/>
      </c>
      <c r="K309" s="23" t="n"/>
      <c r="L309" s="20" t="n"/>
      <c r="M309" s="19" t="n"/>
      <c r="N309" s="20" t="n"/>
      <c r="O309" s="23" t="n"/>
      <c r="P309" s="18">
        <f>IF(B309="","",IF(M309="",IF(L309="Карантин",INT(TODAY())-B309,""),M309-B309))</f>
        <v/>
      </c>
      <c r="Q309" s="18">
        <f>IF(C309="","",IFERROR(INDEX(Справочники!$D$6:$D$45,MATCH(C309,Справочники!$A$6:$A$45,0)),""))</f>
        <v/>
      </c>
    </row>
    <row r="310">
      <c r="A310" s="18">
        <f>IF(B310="","",ROW()-5)</f>
        <v/>
      </c>
      <c r="B310" s="19" t="n"/>
      <c r="C310" s="20" t="n"/>
      <c r="D310" s="21">
        <f>IF(C310="","",IFERROR(INDEX(Справочники!$B$6:$B$45,MATCH(C310,Справочники!$A$6:$A$45,0)),"нет в справочнике"))</f>
        <v/>
      </c>
      <c r="E310" s="20" t="n"/>
      <c r="F310" s="20" t="n"/>
      <c r="G310" s="20" t="n"/>
      <c r="H310" s="20" t="n"/>
      <c r="I310" s="18">
        <f>IF(C310="","",IFERROR(INDEX(Справочники!$C$6:$C$45,MATCH(C310,Справочники!$A$6:$A$45,0)),""))</f>
        <v/>
      </c>
      <c r="J310" s="22">
        <f>IF(C310="","",IFERROR(INDEX(Справочники!$E$6:$E$45,MATCH(C310,Справочники!$A$6:$A$45,0)),""))</f>
        <v/>
      </c>
      <c r="K310" s="23" t="n"/>
      <c r="L310" s="20" t="n"/>
      <c r="M310" s="19" t="n"/>
      <c r="N310" s="20" t="n"/>
      <c r="O310" s="23" t="n"/>
      <c r="P310" s="18">
        <f>IF(B310="","",IF(M310="",IF(L310="Карантин",INT(TODAY())-B310,""),M310-B310))</f>
        <v/>
      </c>
      <c r="Q310" s="18">
        <f>IF(C310="","",IFERROR(INDEX(Справочники!$D$6:$D$45,MATCH(C310,Справочники!$A$6:$A$45,0)),""))</f>
        <v/>
      </c>
    </row>
    <row r="311">
      <c r="A311" s="18">
        <f>IF(B311="","",ROW()-5)</f>
        <v/>
      </c>
      <c r="B311" s="19" t="n"/>
      <c r="C311" s="20" t="n"/>
      <c r="D311" s="21">
        <f>IF(C311="","",IFERROR(INDEX(Справочники!$B$6:$B$45,MATCH(C311,Справочники!$A$6:$A$45,0)),"нет в справочнике"))</f>
        <v/>
      </c>
      <c r="E311" s="20" t="n"/>
      <c r="F311" s="20" t="n"/>
      <c r="G311" s="20" t="n"/>
      <c r="H311" s="20" t="n"/>
      <c r="I311" s="18">
        <f>IF(C311="","",IFERROR(INDEX(Справочники!$C$6:$C$45,MATCH(C311,Справочники!$A$6:$A$45,0)),""))</f>
        <v/>
      </c>
      <c r="J311" s="22">
        <f>IF(C311="","",IFERROR(INDEX(Справочники!$E$6:$E$45,MATCH(C311,Справочники!$A$6:$A$45,0)),""))</f>
        <v/>
      </c>
      <c r="K311" s="23" t="n"/>
      <c r="L311" s="20" t="n"/>
      <c r="M311" s="19" t="n"/>
      <c r="N311" s="20" t="n"/>
      <c r="O311" s="23" t="n"/>
      <c r="P311" s="18">
        <f>IF(B311="","",IF(M311="",IF(L311="Карантин",INT(TODAY())-B311,""),M311-B311))</f>
        <v/>
      </c>
      <c r="Q311" s="18">
        <f>IF(C311="","",IFERROR(INDEX(Справочники!$D$6:$D$45,MATCH(C311,Справочники!$A$6:$A$45,0)),""))</f>
        <v/>
      </c>
    </row>
    <row r="312">
      <c r="A312" s="18">
        <f>IF(B312="","",ROW()-5)</f>
        <v/>
      </c>
      <c r="B312" s="19" t="n"/>
      <c r="C312" s="20" t="n"/>
      <c r="D312" s="21">
        <f>IF(C312="","",IFERROR(INDEX(Справочники!$B$6:$B$45,MATCH(C312,Справочники!$A$6:$A$45,0)),"нет в справочнике"))</f>
        <v/>
      </c>
      <c r="E312" s="20" t="n"/>
      <c r="F312" s="20" t="n"/>
      <c r="G312" s="20" t="n"/>
      <c r="H312" s="20" t="n"/>
      <c r="I312" s="18">
        <f>IF(C312="","",IFERROR(INDEX(Справочники!$C$6:$C$45,MATCH(C312,Справочники!$A$6:$A$45,0)),""))</f>
        <v/>
      </c>
      <c r="J312" s="22">
        <f>IF(C312="","",IFERROR(INDEX(Справочники!$E$6:$E$45,MATCH(C312,Справочники!$A$6:$A$45,0)),""))</f>
        <v/>
      </c>
      <c r="K312" s="23" t="n"/>
      <c r="L312" s="20" t="n"/>
      <c r="M312" s="19" t="n"/>
      <c r="N312" s="20" t="n"/>
      <c r="O312" s="23" t="n"/>
      <c r="P312" s="18">
        <f>IF(B312="","",IF(M312="",IF(L312="Карантин",INT(TODAY())-B312,""),M312-B312))</f>
        <v/>
      </c>
      <c r="Q312" s="18">
        <f>IF(C312="","",IFERROR(INDEX(Справочники!$D$6:$D$45,MATCH(C312,Справочники!$A$6:$A$45,0)),""))</f>
        <v/>
      </c>
    </row>
    <row r="313">
      <c r="A313" s="18">
        <f>IF(B313="","",ROW()-5)</f>
        <v/>
      </c>
      <c r="B313" s="19" t="n"/>
      <c r="C313" s="20" t="n"/>
      <c r="D313" s="21">
        <f>IF(C313="","",IFERROR(INDEX(Справочники!$B$6:$B$45,MATCH(C313,Справочники!$A$6:$A$45,0)),"нет в справочнике"))</f>
        <v/>
      </c>
      <c r="E313" s="20" t="n"/>
      <c r="F313" s="20" t="n"/>
      <c r="G313" s="20" t="n"/>
      <c r="H313" s="20" t="n"/>
      <c r="I313" s="18">
        <f>IF(C313="","",IFERROR(INDEX(Справочники!$C$6:$C$45,MATCH(C313,Справочники!$A$6:$A$45,0)),""))</f>
        <v/>
      </c>
      <c r="J313" s="22">
        <f>IF(C313="","",IFERROR(INDEX(Справочники!$E$6:$E$45,MATCH(C313,Справочники!$A$6:$A$45,0)),""))</f>
        <v/>
      </c>
      <c r="K313" s="23" t="n"/>
      <c r="L313" s="20" t="n"/>
      <c r="M313" s="19" t="n"/>
      <c r="N313" s="20" t="n"/>
      <c r="O313" s="23" t="n"/>
      <c r="P313" s="18">
        <f>IF(B313="","",IF(M313="",IF(L313="Карантин",INT(TODAY())-B313,""),M313-B313))</f>
        <v/>
      </c>
      <c r="Q313" s="18">
        <f>IF(C313="","",IFERROR(INDEX(Справочники!$D$6:$D$45,MATCH(C313,Справочники!$A$6:$A$45,0)),""))</f>
        <v/>
      </c>
    </row>
    <row r="314">
      <c r="A314" s="18">
        <f>IF(B314="","",ROW()-5)</f>
        <v/>
      </c>
      <c r="B314" s="19" t="n"/>
      <c r="C314" s="20" t="n"/>
      <c r="D314" s="21">
        <f>IF(C314="","",IFERROR(INDEX(Справочники!$B$6:$B$45,MATCH(C314,Справочники!$A$6:$A$45,0)),"нет в справочнике"))</f>
        <v/>
      </c>
      <c r="E314" s="20" t="n"/>
      <c r="F314" s="20" t="n"/>
      <c r="G314" s="20" t="n"/>
      <c r="H314" s="20" t="n"/>
      <c r="I314" s="18">
        <f>IF(C314="","",IFERROR(INDEX(Справочники!$C$6:$C$45,MATCH(C314,Справочники!$A$6:$A$45,0)),""))</f>
        <v/>
      </c>
      <c r="J314" s="22">
        <f>IF(C314="","",IFERROR(INDEX(Справочники!$E$6:$E$45,MATCH(C314,Справочники!$A$6:$A$45,0)),""))</f>
        <v/>
      </c>
      <c r="K314" s="23" t="n"/>
      <c r="L314" s="20" t="n"/>
      <c r="M314" s="19" t="n"/>
      <c r="N314" s="20" t="n"/>
      <c r="O314" s="23" t="n"/>
      <c r="P314" s="18">
        <f>IF(B314="","",IF(M314="",IF(L314="Карантин",INT(TODAY())-B314,""),M314-B314))</f>
        <v/>
      </c>
      <c r="Q314" s="18">
        <f>IF(C314="","",IFERROR(INDEX(Справочники!$D$6:$D$45,MATCH(C314,Справочники!$A$6:$A$45,0)),""))</f>
        <v/>
      </c>
    </row>
    <row r="315">
      <c r="A315" s="18">
        <f>IF(B315="","",ROW()-5)</f>
        <v/>
      </c>
      <c r="B315" s="19" t="n"/>
      <c r="C315" s="20" t="n"/>
      <c r="D315" s="21">
        <f>IF(C315="","",IFERROR(INDEX(Справочники!$B$6:$B$45,MATCH(C315,Справочники!$A$6:$A$45,0)),"нет в справочнике"))</f>
        <v/>
      </c>
      <c r="E315" s="20" t="n"/>
      <c r="F315" s="20" t="n"/>
      <c r="G315" s="20" t="n"/>
      <c r="H315" s="20" t="n"/>
      <c r="I315" s="18">
        <f>IF(C315="","",IFERROR(INDEX(Справочники!$C$6:$C$45,MATCH(C315,Справочники!$A$6:$A$45,0)),""))</f>
        <v/>
      </c>
      <c r="J315" s="22">
        <f>IF(C315="","",IFERROR(INDEX(Справочники!$E$6:$E$45,MATCH(C315,Справочники!$A$6:$A$45,0)),""))</f>
        <v/>
      </c>
      <c r="K315" s="23" t="n"/>
      <c r="L315" s="20" t="n"/>
      <c r="M315" s="19" t="n"/>
      <c r="N315" s="20" t="n"/>
      <c r="O315" s="23" t="n"/>
      <c r="P315" s="18">
        <f>IF(B315="","",IF(M315="",IF(L315="Карантин",INT(TODAY())-B315,""),M315-B315))</f>
        <v/>
      </c>
      <c r="Q315" s="18">
        <f>IF(C315="","",IFERROR(INDEX(Справочники!$D$6:$D$45,MATCH(C315,Справочники!$A$6:$A$45,0)),""))</f>
        <v/>
      </c>
    </row>
    <row r="316">
      <c r="A316" s="18">
        <f>IF(B316="","",ROW()-5)</f>
        <v/>
      </c>
      <c r="B316" s="19" t="n"/>
      <c r="C316" s="20" t="n"/>
      <c r="D316" s="21">
        <f>IF(C316="","",IFERROR(INDEX(Справочники!$B$6:$B$45,MATCH(C316,Справочники!$A$6:$A$45,0)),"нет в справочнике"))</f>
        <v/>
      </c>
      <c r="E316" s="20" t="n"/>
      <c r="F316" s="20" t="n"/>
      <c r="G316" s="20" t="n"/>
      <c r="H316" s="20" t="n"/>
      <c r="I316" s="18">
        <f>IF(C316="","",IFERROR(INDEX(Справочники!$C$6:$C$45,MATCH(C316,Справочники!$A$6:$A$45,0)),""))</f>
        <v/>
      </c>
      <c r="J316" s="22">
        <f>IF(C316="","",IFERROR(INDEX(Справочники!$E$6:$E$45,MATCH(C316,Справочники!$A$6:$A$45,0)),""))</f>
        <v/>
      </c>
      <c r="K316" s="23" t="n"/>
      <c r="L316" s="20" t="n"/>
      <c r="M316" s="19" t="n"/>
      <c r="N316" s="20" t="n"/>
      <c r="O316" s="23" t="n"/>
      <c r="P316" s="18">
        <f>IF(B316="","",IF(M316="",IF(L316="Карантин",INT(TODAY())-B316,""),M316-B316))</f>
        <v/>
      </c>
      <c r="Q316" s="18">
        <f>IF(C316="","",IFERROR(INDEX(Справочники!$D$6:$D$45,MATCH(C316,Справочники!$A$6:$A$45,0)),""))</f>
        <v/>
      </c>
    </row>
    <row r="317">
      <c r="A317" s="18">
        <f>IF(B317="","",ROW()-5)</f>
        <v/>
      </c>
      <c r="B317" s="19" t="n"/>
      <c r="C317" s="20" t="n"/>
      <c r="D317" s="21">
        <f>IF(C317="","",IFERROR(INDEX(Справочники!$B$6:$B$45,MATCH(C317,Справочники!$A$6:$A$45,0)),"нет в справочнике"))</f>
        <v/>
      </c>
      <c r="E317" s="20" t="n"/>
      <c r="F317" s="20" t="n"/>
      <c r="G317" s="20" t="n"/>
      <c r="H317" s="20" t="n"/>
      <c r="I317" s="18">
        <f>IF(C317="","",IFERROR(INDEX(Справочники!$C$6:$C$45,MATCH(C317,Справочники!$A$6:$A$45,0)),""))</f>
        <v/>
      </c>
      <c r="J317" s="22">
        <f>IF(C317="","",IFERROR(INDEX(Справочники!$E$6:$E$45,MATCH(C317,Справочники!$A$6:$A$45,0)),""))</f>
        <v/>
      </c>
      <c r="K317" s="23" t="n"/>
      <c r="L317" s="20" t="n"/>
      <c r="M317" s="19" t="n"/>
      <c r="N317" s="20" t="n"/>
      <c r="O317" s="23" t="n"/>
      <c r="P317" s="18">
        <f>IF(B317="","",IF(M317="",IF(L317="Карантин",INT(TODAY())-B317,""),M317-B317))</f>
        <v/>
      </c>
      <c r="Q317" s="18">
        <f>IF(C317="","",IFERROR(INDEX(Справочники!$D$6:$D$45,MATCH(C317,Справочники!$A$6:$A$45,0)),""))</f>
        <v/>
      </c>
    </row>
    <row r="318">
      <c r="A318" s="18">
        <f>IF(B318="","",ROW()-5)</f>
        <v/>
      </c>
      <c r="B318" s="19" t="n"/>
      <c r="C318" s="20" t="n"/>
      <c r="D318" s="21">
        <f>IF(C318="","",IFERROR(INDEX(Справочники!$B$6:$B$45,MATCH(C318,Справочники!$A$6:$A$45,0)),"нет в справочнике"))</f>
        <v/>
      </c>
      <c r="E318" s="20" t="n"/>
      <c r="F318" s="20" t="n"/>
      <c r="G318" s="20" t="n"/>
      <c r="H318" s="20" t="n"/>
      <c r="I318" s="18">
        <f>IF(C318="","",IFERROR(INDEX(Справочники!$C$6:$C$45,MATCH(C318,Справочники!$A$6:$A$45,0)),""))</f>
        <v/>
      </c>
      <c r="J318" s="22">
        <f>IF(C318="","",IFERROR(INDEX(Справочники!$E$6:$E$45,MATCH(C318,Справочники!$A$6:$A$45,0)),""))</f>
        <v/>
      </c>
      <c r="K318" s="23" t="n"/>
      <c r="L318" s="20" t="n"/>
      <c r="M318" s="19" t="n"/>
      <c r="N318" s="20" t="n"/>
      <c r="O318" s="23" t="n"/>
      <c r="P318" s="18">
        <f>IF(B318="","",IF(M318="",IF(L318="Карантин",INT(TODAY())-B318,""),M318-B318))</f>
        <v/>
      </c>
      <c r="Q318" s="18">
        <f>IF(C318="","",IFERROR(INDEX(Справочники!$D$6:$D$45,MATCH(C318,Справочники!$A$6:$A$45,0)),""))</f>
        <v/>
      </c>
    </row>
    <row r="319">
      <c r="A319" s="18">
        <f>IF(B319="","",ROW()-5)</f>
        <v/>
      </c>
      <c r="B319" s="19" t="n"/>
      <c r="C319" s="20" t="n"/>
      <c r="D319" s="21">
        <f>IF(C319="","",IFERROR(INDEX(Справочники!$B$6:$B$45,MATCH(C319,Справочники!$A$6:$A$45,0)),"нет в справочнике"))</f>
        <v/>
      </c>
      <c r="E319" s="20" t="n"/>
      <c r="F319" s="20" t="n"/>
      <c r="G319" s="20" t="n"/>
      <c r="H319" s="20" t="n"/>
      <c r="I319" s="18">
        <f>IF(C319="","",IFERROR(INDEX(Справочники!$C$6:$C$45,MATCH(C319,Справочники!$A$6:$A$45,0)),""))</f>
        <v/>
      </c>
      <c r="J319" s="22">
        <f>IF(C319="","",IFERROR(INDEX(Справочники!$E$6:$E$45,MATCH(C319,Справочники!$A$6:$A$45,0)),""))</f>
        <v/>
      </c>
      <c r="K319" s="23" t="n"/>
      <c r="L319" s="20" t="n"/>
      <c r="M319" s="19" t="n"/>
      <c r="N319" s="20" t="n"/>
      <c r="O319" s="23" t="n"/>
      <c r="P319" s="18">
        <f>IF(B319="","",IF(M319="",IF(L319="Карантин",INT(TODAY())-B319,""),M319-B319))</f>
        <v/>
      </c>
      <c r="Q319" s="18">
        <f>IF(C319="","",IFERROR(INDEX(Справочники!$D$6:$D$45,MATCH(C319,Справочники!$A$6:$A$45,0)),""))</f>
        <v/>
      </c>
    </row>
    <row r="320">
      <c r="A320" s="18">
        <f>IF(B320="","",ROW()-5)</f>
        <v/>
      </c>
      <c r="B320" s="19" t="n"/>
      <c r="C320" s="20" t="n"/>
      <c r="D320" s="21">
        <f>IF(C320="","",IFERROR(INDEX(Справочники!$B$6:$B$45,MATCH(C320,Справочники!$A$6:$A$45,0)),"нет в справочнике"))</f>
        <v/>
      </c>
      <c r="E320" s="20" t="n"/>
      <c r="F320" s="20" t="n"/>
      <c r="G320" s="20" t="n"/>
      <c r="H320" s="20" t="n"/>
      <c r="I320" s="18">
        <f>IF(C320="","",IFERROR(INDEX(Справочники!$C$6:$C$45,MATCH(C320,Справочники!$A$6:$A$45,0)),""))</f>
        <v/>
      </c>
      <c r="J320" s="22">
        <f>IF(C320="","",IFERROR(INDEX(Справочники!$E$6:$E$45,MATCH(C320,Справочники!$A$6:$A$45,0)),""))</f>
        <v/>
      </c>
      <c r="K320" s="23" t="n"/>
      <c r="L320" s="20" t="n"/>
      <c r="M320" s="19" t="n"/>
      <c r="N320" s="20" t="n"/>
      <c r="O320" s="23" t="n"/>
      <c r="P320" s="18">
        <f>IF(B320="","",IF(M320="",IF(L320="Карантин",INT(TODAY())-B320,""),M320-B320))</f>
        <v/>
      </c>
      <c r="Q320" s="18">
        <f>IF(C320="","",IFERROR(INDEX(Справочники!$D$6:$D$45,MATCH(C320,Справочники!$A$6:$A$45,0)),""))</f>
        <v/>
      </c>
    </row>
    <row r="321">
      <c r="A321" s="18">
        <f>IF(B321="","",ROW()-5)</f>
        <v/>
      </c>
      <c r="B321" s="19" t="n"/>
      <c r="C321" s="20" t="n"/>
      <c r="D321" s="21">
        <f>IF(C321="","",IFERROR(INDEX(Справочники!$B$6:$B$45,MATCH(C321,Справочники!$A$6:$A$45,0)),"нет в справочнике"))</f>
        <v/>
      </c>
      <c r="E321" s="20" t="n"/>
      <c r="F321" s="20" t="n"/>
      <c r="G321" s="20" t="n"/>
      <c r="H321" s="20" t="n"/>
      <c r="I321" s="18">
        <f>IF(C321="","",IFERROR(INDEX(Справочники!$C$6:$C$45,MATCH(C321,Справочники!$A$6:$A$45,0)),""))</f>
        <v/>
      </c>
      <c r="J321" s="22">
        <f>IF(C321="","",IFERROR(INDEX(Справочники!$E$6:$E$45,MATCH(C321,Справочники!$A$6:$A$45,0)),""))</f>
        <v/>
      </c>
      <c r="K321" s="23" t="n"/>
      <c r="L321" s="20" t="n"/>
      <c r="M321" s="19" t="n"/>
      <c r="N321" s="20" t="n"/>
      <c r="O321" s="23" t="n"/>
      <c r="P321" s="18">
        <f>IF(B321="","",IF(M321="",IF(L321="Карантин",INT(TODAY())-B321,""),M321-B321))</f>
        <v/>
      </c>
      <c r="Q321" s="18">
        <f>IF(C321="","",IFERROR(INDEX(Справочники!$D$6:$D$45,MATCH(C321,Справочники!$A$6:$A$45,0)),""))</f>
        <v/>
      </c>
    </row>
    <row r="322">
      <c r="A322" s="18">
        <f>IF(B322="","",ROW()-5)</f>
        <v/>
      </c>
      <c r="B322" s="19" t="n"/>
      <c r="C322" s="20" t="n"/>
      <c r="D322" s="21">
        <f>IF(C322="","",IFERROR(INDEX(Справочники!$B$6:$B$45,MATCH(C322,Справочники!$A$6:$A$45,0)),"нет в справочнике"))</f>
        <v/>
      </c>
      <c r="E322" s="20" t="n"/>
      <c r="F322" s="20" t="n"/>
      <c r="G322" s="20" t="n"/>
      <c r="H322" s="20" t="n"/>
      <c r="I322" s="18">
        <f>IF(C322="","",IFERROR(INDEX(Справочники!$C$6:$C$45,MATCH(C322,Справочники!$A$6:$A$45,0)),""))</f>
        <v/>
      </c>
      <c r="J322" s="22">
        <f>IF(C322="","",IFERROR(INDEX(Справочники!$E$6:$E$45,MATCH(C322,Справочники!$A$6:$A$45,0)),""))</f>
        <v/>
      </c>
      <c r="K322" s="23" t="n"/>
      <c r="L322" s="20" t="n"/>
      <c r="M322" s="19" t="n"/>
      <c r="N322" s="20" t="n"/>
      <c r="O322" s="23" t="n"/>
      <c r="P322" s="18">
        <f>IF(B322="","",IF(M322="",IF(L322="Карантин",INT(TODAY())-B322,""),M322-B322))</f>
        <v/>
      </c>
      <c r="Q322" s="18">
        <f>IF(C322="","",IFERROR(INDEX(Справочники!$D$6:$D$45,MATCH(C322,Справочники!$A$6:$A$45,0)),""))</f>
        <v/>
      </c>
    </row>
    <row r="323">
      <c r="A323" s="18">
        <f>IF(B323="","",ROW()-5)</f>
        <v/>
      </c>
      <c r="B323" s="19" t="n"/>
      <c r="C323" s="20" t="n"/>
      <c r="D323" s="21">
        <f>IF(C323="","",IFERROR(INDEX(Справочники!$B$6:$B$45,MATCH(C323,Справочники!$A$6:$A$45,0)),"нет в справочнике"))</f>
        <v/>
      </c>
      <c r="E323" s="20" t="n"/>
      <c r="F323" s="20" t="n"/>
      <c r="G323" s="20" t="n"/>
      <c r="H323" s="20" t="n"/>
      <c r="I323" s="18">
        <f>IF(C323="","",IFERROR(INDEX(Справочники!$C$6:$C$45,MATCH(C323,Справочники!$A$6:$A$45,0)),""))</f>
        <v/>
      </c>
      <c r="J323" s="22">
        <f>IF(C323="","",IFERROR(INDEX(Справочники!$E$6:$E$45,MATCH(C323,Справочники!$A$6:$A$45,0)),""))</f>
        <v/>
      </c>
      <c r="K323" s="23" t="n"/>
      <c r="L323" s="20" t="n"/>
      <c r="M323" s="19" t="n"/>
      <c r="N323" s="20" t="n"/>
      <c r="O323" s="23" t="n"/>
      <c r="P323" s="18">
        <f>IF(B323="","",IF(M323="",IF(L323="Карантин",INT(TODAY())-B323,""),M323-B323))</f>
        <v/>
      </c>
      <c r="Q323" s="18">
        <f>IF(C323="","",IFERROR(INDEX(Справочники!$D$6:$D$45,MATCH(C323,Справочники!$A$6:$A$45,0)),""))</f>
        <v/>
      </c>
    </row>
    <row r="324">
      <c r="A324" s="18">
        <f>IF(B324="","",ROW()-5)</f>
        <v/>
      </c>
      <c r="B324" s="19" t="n"/>
      <c r="C324" s="20" t="n"/>
      <c r="D324" s="21">
        <f>IF(C324="","",IFERROR(INDEX(Справочники!$B$6:$B$45,MATCH(C324,Справочники!$A$6:$A$45,0)),"нет в справочнике"))</f>
        <v/>
      </c>
      <c r="E324" s="20" t="n"/>
      <c r="F324" s="20" t="n"/>
      <c r="G324" s="20" t="n"/>
      <c r="H324" s="20" t="n"/>
      <c r="I324" s="18">
        <f>IF(C324="","",IFERROR(INDEX(Справочники!$C$6:$C$45,MATCH(C324,Справочники!$A$6:$A$45,0)),""))</f>
        <v/>
      </c>
      <c r="J324" s="22">
        <f>IF(C324="","",IFERROR(INDEX(Справочники!$E$6:$E$45,MATCH(C324,Справочники!$A$6:$A$45,0)),""))</f>
        <v/>
      </c>
      <c r="K324" s="23" t="n"/>
      <c r="L324" s="20" t="n"/>
      <c r="M324" s="19" t="n"/>
      <c r="N324" s="20" t="n"/>
      <c r="O324" s="23" t="n"/>
      <c r="P324" s="18">
        <f>IF(B324="","",IF(M324="",IF(L324="Карантин",INT(TODAY())-B324,""),M324-B324))</f>
        <v/>
      </c>
      <c r="Q324" s="18">
        <f>IF(C324="","",IFERROR(INDEX(Справочники!$D$6:$D$45,MATCH(C324,Справочники!$A$6:$A$45,0)),""))</f>
        <v/>
      </c>
    </row>
    <row r="325">
      <c r="A325" s="18">
        <f>IF(B325="","",ROW()-5)</f>
        <v/>
      </c>
      <c r="B325" s="19" t="n"/>
      <c r="C325" s="20" t="n"/>
      <c r="D325" s="21">
        <f>IF(C325="","",IFERROR(INDEX(Справочники!$B$6:$B$45,MATCH(C325,Справочники!$A$6:$A$45,0)),"нет в справочнике"))</f>
        <v/>
      </c>
      <c r="E325" s="20" t="n"/>
      <c r="F325" s="20" t="n"/>
      <c r="G325" s="20" t="n"/>
      <c r="H325" s="20" t="n"/>
      <c r="I325" s="18">
        <f>IF(C325="","",IFERROR(INDEX(Справочники!$C$6:$C$45,MATCH(C325,Справочники!$A$6:$A$45,0)),""))</f>
        <v/>
      </c>
      <c r="J325" s="22">
        <f>IF(C325="","",IFERROR(INDEX(Справочники!$E$6:$E$45,MATCH(C325,Справочники!$A$6:$A$45,0)),""))</f>
        <v/>
      </c>
      <c r="K325" s="23" t="n"/>
      <c r="L325" s="20" t="n"/>
      <c r="M325" s="19" t="n"/>
      <c r="N325" s="20" t="n"/>
      <c r="O325" s="23" t="n"/>
      <c r="P325" s="18">
        <f>IF(B325="","",IF(M325="",IF(L325="Карантин",INT(TODAY())-B325,""),M325-B325))</f>
        <v/>
      </c>
      <c r="Q325" s="18">
        <f>IF(C325="","",IFERROR(INDEX(Справочники!$D$6:$D$45,MATCH(C325,Справочники!$A$6:$A$45,0)),""))</f>
        <v/>
      </c>
    </row>
    <row r="326">
      <c r="A326" s="18">
        <f>IF(B326="","",ROW()-5)</f>
        <v/>
      </c>
      <c r="B326" s="19" t="n"/>
      <c r="C326" s="20" t="n"/>
      <c r="D326" s="21">
        <f>IF(C326="","",IFERROR(INDEX(Справочники!$B$6:$B$45,MATCH(C326,Справочники!$A$6:$A$45,0)),"нет в справочнике"))</f>
        <v/>
      </c>
      <c r="E326" s="20" t="n"/>
      <c r="F326" s="20" t="n"/>
      <c r="G326" s="20" t="n"/>
      <c r="H326" s="20" t="n"/>
      <c r="I326" s="18">
        <f>IF(C326="","",IFERROR(INDEX(Справочники!$C$6:$C$45,MATCH(C326,Справочники!$A$6:$A$45,0)),""))</f>
        <v/>
      </c>
      <c r="J326" s="22">
        <f>IF(C326="","",IFERROR(INDEX(Справочники!$E$6:$E$45,MATCH(C326,Справочники!$A$6:$A$45,0)),""))</f>
        <v/>
      </c>
      <c r="K326" s="23" t="n"/>
      <c r="L326" s="20" t="n"/>
      <c r="M326" s="19" t="n"/>
      <c r="N326" s="20" t="n"/>
      <c r="O326" s="23" t="n"/>
      <c r="P326" s="18">
        <f>IF(B326="","",IF(M326="",IF(L326="Карантин",INT(TODAY())-B326,""),M326-B326))</f>
        <v/>
      </c>
      <c r="Q326" s="18">
        <f>IF(C326="","",IFERROR(INDEX(Справочники!$D$6:$D$45,MATCH(C326,Справочники!$A$6:$A$45,0)),""))</f>
        <v/>
      </c>
    </row>
    <row r="327">
      <c r="A327" s="18">
        <f>IF(B327="","",ROW()-5)</f>
        <v/>
      </c>
      <c r="B327" s="19" t="n"/>
      <c r="C327" s="20" t="n"/>
      <c r="D327" s="21">
        <f>IF(C327="","",IFERROR(INDEX(Справочники!$B$6:$B$45,MATCH(C327,Справочники!$A$6:$A$45,0)),"нет в справочнике"))</f>
        <v/>
      </c>
      <c r="E327" s="20" t="n"/>
      <c r="F327" s="20" t="n"/>
      <c r="G327" s="20" t="n"/>
      <c r="H327" s="20" t="n"/>
      <c r="I327" s="18">
        <f>IF(C327="","",IFERROR(INDEX(Справочники!$C$6:$C$45,MATCH(C327,Справочники!$A$6:$A$45,0)),""))</f>
        <v/>
      </c>
      <c r="J327" s="22">
        <f>IF(C327="","",IFERROR(INDEX(Справочники!$E$6:$E$45,MATCH(C327,Справочники!$A$6:$A$45,0)),""))</f>
        <v/>
      </c>
      <c r="K327" s="23" t="n"/>
      <c r="L327" s="20" t="n"/>
      <c r="M327" s="19" t="n"/>
      <c r="N327" s="20" t="n"/>
      <c r="O327" s="23" t="n"/>
      <c r="P327" s="18">
        <f>IF(B327="","",IF(M327="",IF(L327="Карантин",INT(TODAY())-B327,""),M327-B327))</f>
        <v/>
      </c>
      <c r="Q327" s="18">
        <f>IF(C327="","",IFERROR(INDEX(Справочники!$D$6:$D$45,MATCH(C327,Справочники!$A$6:$A$45,0)),""))</f>
        <v/>
      </c>
    </row>
    <row r="328">
      <c r="A328" s="18">
        <f>IF(B328="","",ROW()-5)</f>
        <v/>
      </c>
      <c r="B328" s="19" t="n"/>
      <c r="C328" s="20" t="n"/>
      <c r="D328" s="21">
        <f>IF(C328="","",IFERROR(INDEX(Справочники!$B$6:$B$45,MATCH(C328,Справочники!$A$6:$A$45,0)),"нет в справочнике"))</f>
        <v/>
      </c>
      <c r="E328" s="20" t="n"/>
      <c r="F328" s="20" t="n"/>
      <c r="G328" s="20" t="n"/>
      <c r="H328" s="20" t="n"/>
      <c r="I328" s="18">
        <f>IF(C328="","",IFERROR(INDEX(Справочники!$C$6:$C$45,MATCH(C328,Справочники!$A$6:$A$45,0)),""))</f>
        <v/>
      </c>
      <c r="J328" s="22">
        <f>IF(C328="","",IFERROR(INDEX(Справочники!$E$6:$E$45,MATCH(C328,Справочники!$A$6:$A$45,0)),""))</f>
        <v/>
      </c>
      <c r="K328" s="23" t="n"/>
      <c r="L328" s="20" t="n"/>
      <c r="M328" s="19" t="n"/>
      <c r="N328" s="20" t="n"/>
      <c r="O328" s="23" t="n"/>
      <c r="P328" s="18">
        <f>IF(B328="","",IF(M328="",IF(L328="Карантин",INT(TODAY())-B328,""),M328-B328))</f>
        <v/>
      </c>
      <c r="Q328" s="18">
        <f>IF(C328="","",IFERROR(INDEX(Справочники!$D$6:$D$45,MATCH(C328,Справочники!$A$6:$A$45,0)),""))</f>
        <v/>
      </c>
    </row>
    <row r="329">
      <c r="A329" s="18">
        <f>IF(B329="","",ROW()-5)</f>
        <v/>
      </c>
      <c r="B329" s="19" t="n"/>
      <c r="C329" s="20" t="n"/>
      <c r="D329" s="21">
        <f>IF(C329="","",IFERROR(INDEX(Справочники!$B$6:$B$45,MATCH(C329,Справочники!$A$6:$A$45,0)),"нет в справочнике"))</f>
        <v/>
      </c>
      <c r="E329" s="20" t="n"/>
      <c r="F329" s="20" t="n"/>
      <c r="G329" s="20" t="n"/>
      <c r="H329" s="20" t="n"/>
      <c r="I329" s="18">
        <f>IF(C329="","",IFERROR(INDEX(Справочники!$C$6:$C$45,MATCH(C329,Справочники!$A$6:$A$45,0)),""))</f>
        <v/>
      </c>
      <c r="J329" s="22">
        <f>IF(C329="","",IFERROR(INDEX(Справочники!$E$6:$E$45,MATCH(C329,Справочники!$A$6:$A$45,0)),""))</f>
        <v/>
      </c>
      <c r="K329" s="23" t="n"/>
      <c r="L329" s="20" t="n"/>
      <c r="M329" s="19" t="n"/>
      <c r="N329" s="20" t="n"/>
      <c r="O329" s="23" t="n"/>
      <c r="P329" s="18">
        <f>IF(B329="","",IF(M329="",IF(L329="Карантин",INT(TODAY())-B329,""),M329-B329))</f>
        <v/>
      </c>
      <c r="Q329" s="18">
        <f>IF(C329="","",IFERROR(INDEX(Справочники!$D$6:$D$45,MATCH(C329,Справочники!$A$6:$A$45,0)),""))</f>
        <v/>
      </c>
    </row>
    <row r="330">
      <c r="A330" s="18">
        <f>IF(B330="","",ROW()-5)</f>
        <v/>
      </c>
      <c r="B330" s="19" t="n"/>
      <c r="C330" s="20" t="n"/>
      <c r="D330" s="21">
        <f>IF(C330="","",IFERROR(INDEX(Справочники!$B$6:$B$45,MATCH(C330,Справочники!$A$6:$A$45,0)),"нет в справочнике"))</f>
        <v/>
      </c>
      <c r="E330" s="20" t="n"/>
      <c r="F330" s="20" t="n"/>
      <c r="G330" s="20" t="n"/>
      <c r="H330" s="20" t="n"/>
      <c r="I330" s="18">
        <f>IF(C330="","",IFERROR(INDEX(Справочники!$C$6:$C$45,MATCH(C330,Справочники!$A$6:$A$45,0)),""))</f>
        <v/>
      </c>
      <c r="J330" s="22">
        <f>IF(C330="","",IFERROR(INDEX(Справочники!$E$6:$E$45,MATCH(C330,Справочники!$A$6:$A$45,0)),""))</f>
        <v/>
      </c>
      <c r="K330" s="23" t="n"/>
      <c r="L330" s="20" t="n"/>
      <c r="M330" s="19" t="n"/>
      <c r="N330" s="20" t="n"/>
      <c r="O330" s="23" t="n"/>
      <c r="P330" s="18">
        <f>IF(B330="","",IF(M330="",IF(L330="Карантин",INT(TODAY())-B330,""),M330-B330))</f>
        <v/>
      </c>
      <c r="Q330" s="18">
        <f>IF(C330="","",IFERROR(INDEX(Справочники!$D$6:$D$45,MATCH(C330,Справочники!$A$6:$A$45,0)),""))</f>
        <v/>
      </c>
    </row>
    <row r="331">
      <c r="A331" s="18">
        <f>IF(B331="","",ROW()-5)</f>
        <v/>
      </c>
      <c r="B331" s="19" t="n"/>
      <c r="C331" s="20" t="n"/>
      <c r="D331" s="21">
        <f>IF(C331="","",IFERROR(INDEX(Справочники!$B$6:$B$45,MATCH(C331,Справочники!$A$6:$A$45,0)),"нет в справочнике"))</f>
        <v/>
      </c>
      <c r="E331" s="20" t="n"/>
      <c r="F331" s="20" t="n"/>
      <c r="G331" s="20" t="n"/>
      <c r="H331" s="20" t="n"/>
      <c r="I331" s="18">
        <f>IF(C331="","",IFERROR(INDEX(Справочники!$C$6:$C$45,MATCH(C331,Справочники!$A$6:$A$45,0)),""))</f>
        <v/>
      </c>
      <c r="J331" s="22">
        <f>IF(C331="","",IFERROR(INDEX(Справочники!$E$6:$E$45,MATCH(C331,Справочники!$A$6:$A$45,0)),""))</f>
        <v/>
      </c>
      <c r="K331" s="23" t="n"/>
      <c r="L331" s="20" t="n"/>
      <c r="M331" s="19" t="n"/>
      <c r="N331" s="20" t="n"/>
      <c r="O331" s="23" t="n"/>
      <c r="P331" s="18">
        <f>IF(B331="","",IF(M331="",IF(L331="Карантин",INT(TODAY())-B331,""),M331-B331))</f>
        <v/>
      </c>
      <c r="Q331" s="18">
        <f>IF(C331="","",IFERROR(INDEX(Справочники!$D$6:$D$45,MATCH(C331,Справочники!$A$6:$A$45,0)),""))</f>
        <v/>
      </c>
    </row>
    <row r="332">
      <c r="A332" s="18">
        <f>IF(B332="","",ROW()-5)</f>
        <v/>
      </c>
      <c r="B332" s="19" t="n"/>
      <c r="C332" s="20" t="n"/>
      <c r="D332" s="21">
        <f>IF(C332="","",IFERROR(INDEX(Справочники!$B$6:$B$45,MATCH(C332,Справочники!$A$6:$A$45,0)),"нет в справочнике"))</f>
        <v/>
      </c>
      <c r="E332" s="20" t="n"/>
      <c r="F332" s="20" t="n"/>
      <c r="G332" s="20" t="n"/>
      <c r="H332" s="20" t="n"/>
      <c r="I332" s="18">
        <f>IF(C332="","",IFERROR(INDEX(Справочники!$C$6:$C$45,MATCH(C332,Справочники!$A$6:$A$45,0)),""))</f>
        <v/>
      </c>
      <c r="J332" s="22">
        <f>IF(C332="","",IFERROR(INDEX(Справочники!$E$6:$E$45,MATCH(C332,Справочники!$A$6:$A$45,0)),""))</f>
        <v/>
      </c>
      <c r="K332" s="23" t="n"/>
      <c r="L332" s="20" t="n"/>
      <c r="M332" s="19" t="n"/>
      <c r="N332" s="20" t="n"/>
      <c r="O332" s="23" t="n"/>
      <c r="P332" s="18">
        <f>IF(B332="","",IF(M332="",IF(L332="Карантин",INT(TODAY())-B332,""),M332-B332))</f>
        <v/>
      </c>
      <c r="Q332" s="18">
        <f>IF(C332="","",IFERROR(INDEX(Справочники!$D$6:$D$45,MATCH(C332,Справочники!$A$6:$A$45,0)),""))</f>
        <v/>
      </c>
    </row>
    <row r="333">
      <c r="A333" s="18">
        <f>IF(B333="","",ROW()-5)</f>
        <v/>
      </c>
      <c r="B333" s="19" t="n"/>
      <c r="C333" s="20" t="n"/>
      <c r="D333" s="21">
        <f>IF(C333="","",IFERROR(INDEX(Справочники!$B$6:$B$45,MATCH(C333,Справочники!$A$6:$A$45,0)),"нет в справочнике"))</f>
        <v/>
      </c>
      <c r="E333" s="20" t="n"/>
      <c r="F333" s="20" t="n"/>
      <c r="G333" s="20" t="n"/>
      <c r="H333" s="20" t="n"/>
      <c r="I333" s="18">
        <f>IF(C333="","",IFERROR(INDEX(Справочники!$C$6:$C$45,MATCH(C333,Справочники!$A$6:$A$45,0)),""))</f>
        <v/>
      </c>
      <c r="J333" s="22">
        <f>IF(C333="","",IFERROR(INDEX(Справочники!$E$6:$E$45,MATCH(C333,Справочники!$A$6:$A$45,0)),""))</f>
        <v/>
      </c>
      <c r="K333" s="23" t="n"/>
      <c r="L333" s="20" t="n"/>
      <c r="M333" s="19" t="n"/>
      <c r="N333" s="20" t="n"/>
      <c r="O333" s="23" t="n"/>
      <c r="P333" s="18">
        <f>IF(B333="","",IF(M333="",IF(L333="Карантин",INT(TODAY())-B333,""),M333-B333))</f>
        <v/>
      </c>
      <c r="Q333" s="18">
        <f>IF(C333="","",IFERROR(INDEX(Справочники!$D$6:$D$45,MATCH(C333,Справочники!$A$6:$A$45,0)),""))</f>
        <v/>
      </c>
    </row>
    <row r="334">
      <c r="A334" s="18">
        <f>IF(B334="","",ROW()-5)</f>
        <v/>
      </c>
      <c r="B334" s="19" t="n"/>
      <c r="C334" s="20" t="n"/>
      <c r="D334" s="21">
        <f>IF(C334="","",IFERROR(INDEX(Справочники!$B$6:$B$45,MATCH(C334,Справочники!$A$6:$A$45,0)),"нет в справочнике"))</f>
        <v/>
      </c>
      <c r="E334" s="20" t="n"/>
      <c r="F334" s="20" t="n"/>
      <c r="G334" s="20" t="n"/>
      <c r="H334" s="20" t="n"/>
      <c r="I334" s="18">
        <f>IF(C334="","",IFERROR(INDEX(Справочники!$C$6:$C$45,MATCH(C334,Справочники!$A$6:$A$45,0)),""))</f>
        <v/>
      </c>
      <c r="J334" s="22">
        <f>IF(C334="","",IFERROR(INDEX(Справочники!$E$6:$E$45,MATCH(C334,Справочники!$A$6:$A$45,0)),""))</f>
        <v/>
      </c>
      <c r="K334" s="23" t="n"/>
      <c r="L334" s="20" t="n"/>
      <c r="M334" s="19" t="n"/>
      <c r="N334" s="20" t="n"/>
      <c r="O334" s="23" t="n"/>
      <c r="P334" s="18">
        <f>IF(B334="","",IF(M334="",IF(L334="Карантин",INT(TODAY())-B334,""),M334-B334))</f>
        <v/>
      </c>
      <c r="Q334" s="18">
        <f>IF(C334="","",IFERROR(INDEX(Справочники!$D$6:$D$45,MATCH(C334,Справочники!$A$6:$A$45,0)),""))</f>
        <v/>
      </c>
    </row>
    <row r="335">
      <c r="A335" s="18">
        <f>IF(B335="","",ROW()-5)</f>
        <v/>
      </c>
      <c r="B335" s="19" t="n"/>
      <c r="C335" s="20" t="n"/>
      <c r="D335" s="21">
        <f>IF(C335="","",IFERROR(INDEX(Справочники!$B$6:$B$45,MATCH(C335,Справочники!$A$6:$A$45,0)),"нет в справочнике"))</f>
        <v/>
      </c>
      <c r="E335" s="20" t="n"/>
      <c r="F335" s="20" t="n"/>
      <c r="G335" s="20" t="n"/>
      <c r="H335" s="20" t="n"/>
      <c r="I335" s="18">
        <f>IF(C335="","",IFERROR(INDEX(Справочники!$C$6:$C$45,MATCH(C335,Справочники!$A$6:$A$45,0)),""))</f>
        <v/>
      </c>
      <c r="J335" s="22">
        <f>IF(C335="","",IFERROR(INDEX(Справочники!$E$6:$E$45,MATCH(C335,Справочники!$A$6:$A$45,0)),""))</f>
        <v/>
      </c>
      <c r="K335" s="23" t="n"/>
      <c r="L335" s="20" t="n"/>
      <c r="M335" s="19" t="n"/>
      <c r="N335" s="20" t="n"/>
      <c r="O335" s="23" t="n"/>
      <c r="P335" s="18">
        <f>IF(B335="","",IF(M335="",IF(L335="Карантин",INT(TODAY())-B335,""),M335-B335))</f>
        <v/>
      </c>
      <c r="Q335" s="18">
        <f>IF(C335="","",IFERROR(INDEX(Справочники!$D$6:$D$45,MATCH(C335,Справочники!$A$6:$A$45,0)),""))</f>
        <v/>
      </c>
    </row>
    <row r="336">
      <c r="A336" s="18">
        <f>IF(B336="","",ROW()-5)</f>
        <v/>
      </c>
      <c r="B336" s="19" t="n"/>
      <c r="C336" s="20" t="n"/>
      <c r="D336" s="21">
        <f>IF(C336="","",IFERROR(INDEX(Справочники!$B$6:$B$45,MATCH(C336,Справочники!$A$6:$A$45,0)),"нет в справочнике"))</f>
        <v/>
      </c>
      <c r="E336" s="20" t="n"/>
      <c r="F336" s="20" t="n"/>
      <c r="G336" s="20" t="n"/>
      <c r="H336" s="20" t="n"/>
      <c r="I336" s="18">
        <f>IF(C336="","",IFERROR(INDEX(Справочники!$C$6:$C$45,MATCH(C336,Справочники!$A$6:$A$45,0)),""))</f>
        <v/>
      </c>
      <c r="J336" s="22">
        <f>IF(C336="","",IFERROR(INDEX(Справочники!$E$6:$E$45,MATCH(C336,Справочники!$A$6:$A$45,0)),""))</f>
        <v/>
      </c>
      <c r="K336" s="23" t="n"/>
      <c r="L336" s="20" t="n"/>
      <c r="M336" s="19" t="n"/>
      <c r="N336" s="20" t="n"/>
      <c r="O336" s="23" t="n"/>
      <c r="P336" s="18">
        <f>IF(B336="","",IF(M336="",IF(L336="Карантин",INT(TODAY())-B336,""),M336-B336))</f>
        <v/>
      </c>
      <c r="Q336" s="18">
        <f>IF(C336="","",IFERROR(INDEX(Справочники!$D$6:$D$45,MATCH(C336,Справочники!$A$6:$A$45,0)),""))</f>
        <v/>
      </c>
    </row>
    <row r="337">
      <c r="A337" s="18">
        <f>IF(B337="","",ROW()-5)</f>
        <v/>
      </c>
      <c r="B337" s="19" t="n"/>
      <c r="C337" s="20" t="n"/>
      <c r="D337" s="21">
        <f>IF(C337="","",IFERROR(INDEX(Справочники!$B$6:$B$45,MATCH(C337,Справочники!$A$6:$A$45,0)),"нет в справочнике"))</f>
        <v/>
      </c>
      <c r="E337" s="20" t="n"/>
      <c r="F337" s="20" t="n"/>
      <c r="G337" s="20" t="n"/>
      <c r="H337" s="20" t="n"/>
      <c r="I337" s="18">
        <f>IF(C337="","",IFERROR(INDEX(Справочники!$C$6:$C$45,MATCH(C337,Справочники!$A$6:$A$45,0)),""))</f>
        <v/>
      </c>
      <c r="J337" s="22">
        <f>IF(C337="","",IFERROR(INDEX(Справочники!$E$6:$E$45,MATCH(C337,Справочники!$A$6:$A$45,0)),""))</f>
        <v/>
      </c>
      <c r="K337" s="23" t="n"/>
      <c r="L337" s="20" t="n"/>
      <c r="M337" s="19" t="n"/>
      <c r="N337" s="20" t="n"/>
      <c r="O337" s="23" t="n"/>
      <c r="P337" s="18">
        <f>IF(B337="","",IF(M337="",IF(L337="Карантин",INT(TODAY())-B337,""),M337-B337))</f>
        <v/>
      </c>
      <c r="Q337" s="18">
        <f>IF(C337="","",IFERROR(INDEX(Справочники!$D$6:$D$45,MATCH(C337,Справочники!$A$6:$A$45,0)),""))</f>
        <v/>
      </c>
    </row>
    <row r="338">
      <c r="A338" s="18">
        <f>IF(B338="","",ROW()-5)</f>
        <v/>
      </c>
      <c r="B338" s="19" t="n"/>
      <c r="C338" s="20" t="n"/>
      <c r="D338" s="21">
        <f>IF(C338="","",IFERROR(INDEX(Справочники!$B$6:$B$45,MATCH(C338,Справочники!$A$6:$A$45,0)),"нет в справочнике"))</f>
        <v/>
      </c>
      <c r="E338" s="20" t="n"/>
      <c r="F338" s="20" t="n"/>
      <c r="G338" s="20" t="n"/>
      <c r="H338" s="20" t="n"/>
      <c r="I338" s="18">
        <f>IF(C338="","",IFERROR(INDEX(Справочники!$C$6:$C$45,MATCH(C338,Справочники!$A$6:$A$45,0)),""))</f>
        <v/>
      </c>
      <c r="J338" s="22">
        <f>IF(C338="","",IFERROR(INDEX(Справочники!$E$6:$E$45,MATCH(C338,Справочники!$A$6:$A$45,0)),""))</f>
        <v/>
      </c>
      <c r="K338" s="23" t="n"/>
      <c r="L338" s="20" t="n"/>
      <c r="M338" s="19" t="n"/>
      <c r="N338" s="20" t="n"/>
      <c r="O338" s="23" t="n"/>
      <c r="P338" s="18">
        <f>IF(B338="","",IF(M338="",IF(L338="Карантин",INT(TODAY())-B338,""),M338-B338))</f>
        <v/>
      </c>
      <c r="Q338" s="18">
        <f>IF(C338="","",IFERROR(INDEX(Справочники!$D$6:$D$45,MATCH(C338,Справочники!$A$6:$A$45,0)),""))</f>
        <v/>
      </c>
    </row>
    <row r="339">
      <c r="A339" s="18">
        <f>IF(B339="","",ROW()-5)</f>
        <v/>
      </c>
      <c r="B339" s="19" t="n"/>
      <c r="C339" s="20" t="n"/>
      <c r="D339" s="21">
        <f>IF(C339="","",IFERROR(INDEX(Справочники!$B$6:$B$45,MATCH(C339,Справочники!$A$6:$A$45,0)),"нет в справочнике"))</f>
        <v/>
      </c>
      <c r="E339" s="20" t="n"/>
      <c r="F339" s="20" t="n"/>
      <c r="G339" s="20" t="n"/>
      <c r="H339" s="20" t="n"/>
      <c r="I339" s="18">
        <f>IF(C339="","",IFERROR(INDEX(Справочники!$C$6:$C$45,MATCH(C339,Справочники!$A$6:$A$45,0)),""))</f>
        <v/>
      </c>
      <c r="J339" s="22">
        <f>IF(C339="","",IFERROR(INDEX(Справочники!$E$6:$E$45,MATCH(C339,Справочники!$A$6:$A$45,0)),""))</f>
        <v/>
      </c>
      <c r="K339" s="23" t="n"/>
      <c r="L339" s="20" t="n"/>
      <c r="M339" s="19" t="n"/>
      <c r="N339" s="20" t="n"/>
      <c r="O339" s="23" t="n"/>
      <c r="P339" s="18">
        <f>IF(B339="","",IF(M339="",IF(L339="Карантин",INT(TODAY())-B339,""),M339-B339))</f>
        <v/>
      </c>
      <c r="Q339" s="18">
        <f>IF(C339="","",IFERROR(INDEX(Справочники!$D$6:$D$45,MATCH(C339,Справочники!$A$6:$A$45,0)),""))</f>
        <v/>
      </c>
    </row>
    <row r="340">
      <c r="A340" s="18">
        <f>IF(B340="","",ROW()-5)</f>
        <v/>
      </c>
      <c r="B340" s="19" t="n"/>
      <c r="C340" s="20" t="n"/>
      <c r="D340" s="21">
        <f>IF(C340="","",IFERROR(INDEX(Справочники!$B$6:$B$45,MATCH(C340,Справочники!$A$6:$A$45,0)),"нет в справочнике"))</f>
        <v/>
      </c>
      <c r="E340" s="20" t="n"/>
      <c r="F340" s="20" t="n"/>
      <c r="G340" s="20" t="n"/>
      <c r="H340" s="20" t="n"/>
      <c r="I340" s="18">
        <f>IF(C340="","",IFERROR(INDEX(Справочники!$C$6:$C$45,MATCH(C340,Справочники!$A$6:$A$45,0)),""))</f>
        <v/>
      </c>
      <c r="J340" s="22">
        <f>IF(C340="","",IFERROR(INDEX(Справочники!$E$6:$E$45,MATCH(C340,Справочники!$A$6:$A$45,0)),""))</f>
        <v/>
      </c>
      <c r="K340" s="23" t="n"/>
      <c r="L340" s="20" t="n"/>
      <c r="M340" s="19" t="n"/>
      <c r="N340" s="20" t="n"/>
      <c r="O340" s="23" t="n"/>
      <c r="P340" s="18">
        <f>IF(B340="","",IF(M340="",IF(L340="Карантин",INT(TODAY())-B340,""),M340-B340))</f>
        <v/>
      </c>
      <c r="Q340" s="18">
        <f>IF(C340="","",IFERROR(INDEX(Справочники!$D$6:$D$45,MATCH(C340,Справочники!$A$6:$A$45,0)),""))</f>
        <v/>
      </c>
    </row>
    <row r="341">
      <c r="A341" s="18">
        <f>IF(B341="","",ROW()-5)</f>
        <v/>
      </c>
      <c r="B341" s="19" t="n"/>
      <c r="C341" s="20" t="n"/>
      <c r="D341" s="21">
        <f>IF(C341="","",IFERROR(INDEX(Справочники!$B$6:$B$45,MATCH(C341,Справочники!$A$6:$A$45,0)),"нет в справочнике"))</f>
        <v/>
      </c>
      <c r="E341" s="20" t="n"/>
      <c r="F341" s="20" t="n"/>
      <c r="G341" s="20" t="n"/>
      <c r="H341" s="20" t="n"/>
      <c r="I341" s="18">
        <f>IF(C341="","",IFERROR(INDEX(Справочники!$C$6:$C$45,MATCH(C341,Справочники!$A$6:$A$45,0)),""))</f>
        <v/>
      </c>
      <c r="J341" s="22">
        <f>IF(C341="","",IFERROR(INDEX(Справочники!$E$6:$E$45,MATCH(C341,Справочники!$A$6:$A$45,0)),""))</f>
        <v/>
      </c>
      <c r="K341" s="23" t="n"/>
      <c r="L341" s="20" t="n"/>
      <c r="M341" s="19" t="n"/>
      <c r="N341" s="20" t="n"/>
      <c r="O341" s="23" t="n"/>
      <c r="P341" s="18">
        <f>IF(B341="","",IF(M341="",IF(L341="Карантин",INT(TODAY())-B341,""),M341-B341))</f>
        <v/>
      </c>
      <c r="Q341" s="18">
        <f>IF(C341="","",IFERROR(INDEX(Справочники!$D$6:$D$45,MATCH(C341,Справочники!$A$6:$A$45,0)),""))</f>
        <v/>
      </c>
    </row>
    <row r="342">
      <c r="A342" s="18">
        <f>IF(B342="","",ROW()-5)</f>
        <v/>
      </c>
      <c r="B342" s="19" t="n"/>
      <c r="C342" s="20" t="n"/>
      <c r="D342" s="21">
        <f>IF(C342="","",IFERROR(INDEX(Справочники!$B$6:$B$45,MATCH(C342,Справочники!$A$6:$A$45,0)),"нет в справочнике"))</f>
        <v/>
      </c>
      <c r="E342" s="20" t="n"/>
      <c r="F342" s="20" t="n"/>
      <c r="G342" s="20" t="n"/>
      <c r="H342" s="20" t="n"/>
      <c r="I342" s="18">
        <f>IF(C342="","",IFERROR(INDEX(Справочники!$C$6:$C$45,MATCH(C342,Справочники!$A$6:$A$45,0)),""))</f>
        <v/>
      </c>
      <c r="J342" s="22">
        <f>IF(C342="","",IFERROR(INDEX(Справочники!$E$6:$E$45,MATCH(C342,Справочники!$A$6:$A$45,0)),""))</f>
        <v/>
      </c>
      <c r="K342" s="23" t="n"/>
      <c r="L342" s="20" t="n"/>
      <c r="M342" s="19" t="n"/>
      <c r="N342" s="20" t="n"/>
      <c r="O342" s="23" t="n"/>
      <c r="P342" s="18">
        <f>IF(B342="","",IF(M342="",IF(L342="Карантин",INT(TODAY())-B342,""),M342-B342))</f>
        <v/>
      </c>
      <c r="Q342" s="18">
        <f>IF(C342="","",IFERROR(INDEX(Справочники!$D$6:$D$45,MATCH(C342,Справочники!$A$6:$A$45,0)),""))</f>
        <v/>
      </c>
    </row>
    <row r="343">
      <c r="A343" s="18">
        <f>IF(B343="","",ROW()-5)</f>
        <v/>
      </c>
      <c r="B343" s="19" t="n"/>
      <c r="C343" s="20" t="n"/>
      <c r="D343" s="21">
        <f>IF(C343="","",IFERROR(INDEX(Справочники!$B$6:$B$45,MATCH(C343,Справочники!$A$6:$A$45,0)),"нет в справочнике"))</f>
        <v/>
      </c>
      <c r="E343" s="20" t="n"/>
      <c r="F343" s="20" t="n"/>
      <c r="G343" s="20" t="n"/>
      <c r="H343" s="20" t="n"/>
      <c r="I343" s="18">
        <f>IF(C343="","",IFERROR(INDEX(Справочники!$C$6:$C$45,MATCH(C343,Справочники!$A$6:$A$45,0)),""))</f>
        <v/>
      </c>
      <c r="J343" s="22">
        <f>IF(C343="","",IFERROR(INDEX(Справочники!$E$6:$E$45,MATCH(C343,Справочники!$A$6:$A$45,0)),""))</f>
        <v/>
      </c>
      <c r="K343" s="23" t="n"/>
      <c r="L343" s="20" t="n"/>
      <c r="M343" s="19" t="n"/>
      <c r="N343" s="20" t="n"/>
      <c r="O343" s="23" t="n"/>
      <c r="P343" s="18">
        <f>IF(B343="","",IF(M343="",IF(L343="Карантин",INT(TODAY())-B343,""),M343-B343))</f>
        <v/>
      </c>
      <c r="Q343" s="18">
        <f>IF(C343="","",IFERROR(INDEX(Справочники!$D$6:$D$45,MATCH(C343,Справочники!$A$6:$A$45,0)),""))</f>
        <v/>
      </c>
    </row>
    <row r="344">
      <c r="A344" s="18">
        <f>IF(B344="","",ROW()-5)</f>
        <v/>
      </c>
      <c r="B344" s="19" t="n"/>
      <c r="C344" s="20" t="n"/>
      <c r="D344" s="21">
        <f>IF(C344="","",IFERROR(INDEX(Справочники!$B$6:$B$45,MATCH(C344,Справочники!$A$6:$A$45,0)),"нет в справочнике"))</f>
        <v/>
      </c>
      <c r="E344" s="20" t="n"/>
      <c r="F344" s="20" t="n"/>
      <c r="G344" s="20" t="n"/>
      <c r="H344" s="20" t="n"/>
      <c r="I344" s="18">
        <f>IF(C344="","",IFERROR(INDEX(Справочники!$C$6:$C$45,MATCH(C344,Справочники!$A$6:$A$45,0)),""))</f>
        <v/>
      </c>
      <c r="J344" s="22">
        <f>IF(C344="","",IFERROR(INDEX(Справочники!$E$6:$E$45,MATCH(C344,Справочники!$A$6:$A$45,0)),""))</f>
        <v/>
      </c>
      <c r="K344" s="23" t="n"/>
      <c r="L344" s="20" t="n"/>
      <c r="M344" s="19" t="n"/>
      <c r="N344" s="20" t="n"/>
      <c r="O344" s="23" t="n"/>
      <c r="P344" s="18">
        <f>IF(B344="","",IF(M344="",IF(L344="Карантин",INT(TODAY())-B344,""),M344-B344))</f>
        <v/>
      </c>
      <c r="Q344" s="18">
        <f>IF(C344="","",IFERROR(INDEX(Справочники!$D$6:$D$45,MATCH(C344,Справочники!$A$6:$A$45,0)),""))</f>
        <v/>
      </c>
    </row>
    <row r="345">
      <c r="A345" s="18">
        <f>IF(B345="","",ROW()-5)</f>
        <v/>
      </c>
      <c r="B345" s="19" t="n"/>
      <c r="C345" s="20" t="n"/>
      <c r="D345" s="21">
        <f>IF(C345="","",IFERROR(INDEX(Справочники!$B$6:$B$45,MATCH(C345,Справочники!$A$6:$A$45,0)),"нет в справочнике"))</f>
        <v/>
      </c>
      <c r="E345" s="20" t="n"/>
      <c r="F345" s="20" t="n"/>
      <c r="G345" s="20" t="n"/>
      <c r="H345" s="20" t="n"/>
      <c r="I345" s="18">
        <f>IF(C345="","",IFERROR(INDEX(Справочники!$C$6:$C$45,MATCH(C345,Справочники!$A$6:$A$45,0)),""))</f>
        <v/>
      </c>
      <c r="J345" s="22">
        <f>IF(C345="","",IFERROR(INDEX(Справочники!$E$6:$E$45,MATCH(C345,Справочники!$A$6:$A$45,0)),""))</f>
        <v/>
      </c>
      <c r="K345" s="23" t="n"/>
      <c r="L345" s="20" t="n"/>
      <c r="M345" s="19" t="n"/>
      <c r="N345" s="20" t="n"/>
      <c r="O345" s="23" t="n"/>
      <c r="P345" s="18">
        <f>IF(B345="","",IF(M345="",IF(L345="Карантин",INT(TODAY())-B345,""),M345-B345))</f>
        <v/>
      </c>
      <c r="Q345" s="18">
        <f>IF(C345="","",IFERROR(INDEX(Справочники!$D$6:$D$45,MATCH(C345,Справочники!$A$6:$A$45,0)),""))</f>
        <v/>
      </c>
    </row>
    <row r="346">
      <c r="A346" s="18">
        <f>IF(B346="","",ROW()-5)</f>
        <v/>
      </c>
      <c r="B346" s="19" t="n"/>
      <c r="C346" s="20" t="n"/>
      <c r="D346" s="21">
        <f>IF(C346="","",IFERROR(INDEX(Справочники!$B$6:$B$45,MATCH(C346,Справочники!$A$6:$A$45,0)),"нет в справочнике"))</f>
        <v/>
      </c>
      <c r="E346" s="20" t="n"/>
      <c r="F346" s="20" t="n"/>
      <c r="G346" s="20" t="n"/>
      <c r="H346" s="20" t="n"/>
      <c r="I346" s="18">
        <f>IF(C346="","",IFERROR(INDEX(Справочники!$C$6:$C$45,MATCH(C346,Справочники!$A$6:$A$45,0)),""))</f>
        <v/>
      </c>
      <c r="J346" s="22">
        <f>IF(C346="","",IFERROR(INDEX(Справочники!$E$6:$E$45,MATCH(C346,Справочники!$A$6:$A$45,0)),""))</f>
        <v/>
      </c>
      <c r="K346" s="23" t="n"/>
      <c r="L346" s="20" t="n"/>
      <c r="M346" s="19" t="n"/>
      <c r="N346" s="20" t="n"/>
      <c r="O346" s="23" t="n"/>
      <c r="P346" s="18">
        <f>IF(B346="","",IF(M346="",IF(L346="Карантин",INT(TODAY())-B346,""),M346-B346))</f>
        <v/>
      </c>
      <c r="Q346" s="18">
        <f>IF(C346="","",IFERROR(INDEX(Справочники!$D$6:$D$45,MATCH(C346,Справочники!$A$6:$A$45,0)),""))</f>
        <v/>
      </c>
    </row>
    <row r="347">
      <c r="A347" s="18">
        <f>IF(B347="","",ROW()-5)</f>
        <v/>
      </c>
      <c r="B347" s="19" t="n"/>
      <c r="C347" s="20" t="n"/>
      <c r="D347" s="21">
        <f>IF(C347="","",IFERROR(INDEX(Справочники!$B$6:$B$45,MATCH(C347,Справочники!$A$6:$A$45,0)),"нет в справочнике"))</f>
        <v/>
      </c>
      <c r="E347" s="20" t="n"/>
      <c r="F347" s="20" t="n"/>
      <c r="G347" s="20" t="n"/>
      <c r="H347" s="20" t="n"/>
      <c r="I347" s="18">
        <f>IF(C347="","",IFERROR(INDEX(Справочники!$C$6:$C$45,MATCH(C347,Справочники!$A$6:$A$45,0)),""))</f>
        <v/>
      </c>
      <c r="J347" s="22">
        <f>IF(C347="","",IFERROR(INDEX(Справочники!$E$6:$E$45,MATCH(C347,Справочники!$A$6:$A$45,0)),""))</f>
        <v/>
      </c>
      <c r="K347" s="23" t="n"/>
      <c r="L347" s="20" t="n"/>
      <c r="M347" s="19" t="n"/>
      <c r="N347" s="20" t="n"/>
      <c r="O347" s="23" t="n"/>
      <c r="P347" s="18">
        <f>IF(B347="","",IF(M347="",IF(L347="Карантин",INT(TODAY())-B347,""),M347-B347))</f>
        <v/>
      </c>
      <c r="Q347" s="18">
        <f>IF(C347="","",IFERROR(INDEX(Справочники!$D$6:$D$45,MATCH(C347,Справочники!$A$6:$A$45,0)),""))</f>
        <v/>
      </c>
    </row>
    <row r="348">
      <c r="A348" s="18">
        <f>IF(B348="","",ROW()-5)</f>
        <v/>
      </c>
      <c r="B348" s="19" t="n"/>
      <c r="C348" s="20" t="n"/>
      <c r="D348" s="21">
        <f>IF(C348="","",IFERROR(INDEX(Справочники!$B$6:$B$45,MATCH(C348,Справочники!$A$6:$A$45,0)),"нет в справочнике"))</f>
        <v/>
      </c>
      <c r="E348" s="20" t="n"/>
      <c r="F348" s="20" t="n"/>
      <c r="G348" s="20" t="n"/>
      <c r="H348" s="20" t="n"/>
      <c r="I348" s="18">
        <f>IF(C348="","",IFERROR(INDEX(Справочники!$C$6:$C$45,MATCH(C348,Справочники!$A$6:$A$45,0)),""))</f>
        <v/>
      </c>
      <c r="J348" s="22">
        <f>IF(C348="","",IFERROR(INDEX(Справочники!$E$6:$E$45,MATCH(C348,Справочники!$A$6:$A$45,0)),""))</f>
        <v/>
      </c>
      <c r="K348" s="23" t="n"/>
      <c r="L348" s="20" t="n"/>
      <c r="M348" s="19" t="n"/>
      <c r="N348" s="20" t="n"/>
      <c r="O348" s="23" t="n"/>
      <c r="P348" s="18">
        <f>IF(B348="","",IF(M348="",IF(L348="Карантин",INT(TODAY())-B348,""),M348-B348))</f>
        <v/>
      </c>
      <c r="Q348" s="18">
        <f>IF(C348="","",IFERROR(INDEX(Справочники!$D$6:$D$45,MATCH(C348,Справочники!$A$6:$A$45,0)),""))</f>
        <v/>
      </c>
    </row>
    <row r="349">
      <c r="A349" s="18">
        <f>IF(B349="","",ROW()-5)</f>
        <v/>
      </c>
      <c r="B349" s="19" t="n"/>
      <c r="C349" s="20" t="n"/>
      <c r="D349" s="21">
        <f>IF(C349="","",IFERROR(INDEX(Справочники!$B$6:$B$45,MATCH(C349,Справочники!$A$6:$A$45,0)),"нет в справочнике"))</f>
        <v/>
      </c>
      <c r="E349" s="20" t="n"/>
      <c r="F349" s="20" t="n"/>
      <c r="G349" s="20" t="n"/>
      <c r="H349" s="20" t="n"/>
      <c r="I349" s="18">
        <f>IF(C349="","",IFERROR(INDEX(Справочники!$C$6:$C$45,MATCH(C349,Справочники!$A$6:$A$45,0)),""))</f>
        <v/>
      </c>
      <c r="J349" s="22">
        <f>IF(C349="","",IFERROR(INDEX(Справочники!$E$6:$E$45,MATCH(C349,Справочники!$A$6:$A$45,0)),""))</f>
        <v/>
      </c>
      <c r="K349" s="23" t="n"/>
      <c r="L349" s="20" t="n"/>
      <c r="M349" s="19" t="n"/>
      <c r="N349" s="20" t="n"/>
      <c r="O349" s="23" t="n"/>
      <c r="P349" s="18">
        <f>IF(B349="","",IF(M349="",IF(L349="Карантин",INT(TODAY())-B349,""),M349-B349))</f>
        <v/>
      </c>
      <c r="Q349" s="18">
        <f>IF(C349="","",IFERROR(INDEX(Справочники!$D$6:$D$45,MATCH(C349,Справочники!$A$6:$A$45,0)),""))</f>
        <v/>
      </c>
    </row>
    <row r="350">
      <c r="A350" s="18">
        <f>IF(B350="","",ROW()-5)</f>
        <v/>
      </c>
      <c r="B350" s="19" t="n"/>
      <c r="C350" s="20" t="n"/>
      <c r="D350" s="21">
        <f>IF(C350="","",IFERROR(INDEX(Справочники!$B$6:$B$45,MATCH(C350,Справочники!$A$6:$A$45,0)),"нет в справочнике"))</f>
        <v/>
      </c>
      <c r="E350" s="20" t="n"/>
      <c r="F350" s="20" t="n"/>
      <c r="G350" s="20" t="n"/>
      <c r="H350" s="20" t="n"/>
      <c r="I350" s="18">
        <f>IF(C350="","",IFERROR(INDEX(Справочники!$C$6:$C$45,MATCH(C350,Справочники!$A$6:$A$45,0)),""))</f>
        <v/>
      </c>
      <c r="J350" s="22">
        <f>IF(C350="","",IFERROR(INDEX(Справочники!$E$6:$E$45,MATCH(C350,Справочники!$A$6:$A$45,0)),""))</f>
        <v/>
      </c>
      <c r="K350" s="23" t="n"/>
      <c r="L350" s="20" t="n"/>
      <c r="M350" s="19" t="n"/>
      <c r="N350" s="20" t="n"/>
      <c r="O350" s="23" t="n"/>
      <c r="P350" s="18">
        <f>IF(B350="","",IF(M350="",IF(L350="Карантин",INT(TODAY())-B350,""),M350-B350))</f>
        <v/>
      </c>
      <c r="Q350" s="18">
        <f>IF(C350="","",IFERROR(INDEX(Справочники!$D$6:$D$45,MATCH(C350,Справочники!$A$6:$A$45,0)),""))</f>
        <v/>
      </c>
    </row>
    <row r="351">
      <c r="A351" s="18">
        <f>IF(B351="","",ROW()-5)</f>
        <v/>
      </c>
      <c r="B351" s="19" t="n"/>
      <c r="C351" s="20" t="n"/>
      <c r="D351" s="21">
        <f>IF(C351="","",IFERROR(INDEX(Справочники!$B$6:$B$45,MATCH(C351,Справочники!$A$6:$A$45,0)),"нет в справочнике"))</f>
        <v/>
      </c>
      <c r="E351" s="20" t="n"/>
      <c r="F351" s="20" t="n"/>
      <c r="G351" s="20" t="n"/>
      <c r="H351" s="20" t="n"/>
      <c r="I351" s="18">
        <f>IF(C351="","",IFERROR(INDEX(Справочники!$C$6:$C$45,MATCH(C351,Справочники!$A$6:$A$45,0)),""))</f>
        <v/>
      </c>
      <c r="J351" s="22">
        <f>IF(C351="","",IFERROR(INDEX(Справочники!$E$6:$E$45,MATCH(C351,Справочники!$A$6:$A$45,0)),""))</f>
        <v/>
      </c>
      <c r="K351" s="23" t="n"/>
      <c r="L351" s="20" t="n"/>
      <c r="M351" s="19" t="n"/>
      <c r="N351" s="20" t="n"/>
      <c r="O351" s="23" t="n"/>
      <c r="P351" s="18">
        <f>IF(B351="","",IF(M351="",IF(L351="Карантин",INT(TODAY())-B351,""),M351-B351))</f>
        <v/>
      </c>
      <c r="Q351" s="18">
        <f>IF(C351="","",IFERROR(INDEX(Справочники!$D$6:$D$45,MATCH(C351,Справочники!$A$6:$A$45,0)),""))</f>
        <v/>
      </c>
    </row>
    <row r="352">
      <c r="A352" s="18">
        <f>IF(B352="","",ROW()-5)</f>
        <v/>
      </c>
      <c r="B352" s="19" t="n"/>
      <c r="C352" s="20" t="n"/>
      <c r="D352" s="21">
        <f>IF(C352="","",IFERROR(INDEX(Справочники!$B$6:$B$45,MATCH(C352,Справочники!$A$6:$A$45,0)),"нет в справочнике"))</f>
        <v/>
      </c>
      <c r="E352" s="20" t="n"/>
      <c r="F352" s="20" t="n"/>
      <c r="G352" s="20" t="n"/>
      <c r="H352" s="20" t="n"/>
      <c r="I352" s="18">
        <f>IF(C352="","",IFERROR(INDEX(Справочники!$C$6:$C$45,MATCH(C352,Справочники!$A$6:$A$45,0)),""))</f>
        <v/>
      </c>
      <c r="J352" s="22">
        <f>IF(C352="","",IFERROR(INDEX(Справочники!$E$6:$E$45,MATCH(C352,Справочники!$A$6:$A$45,0)),""))</f>
        <v/>
      </c>
      <c r="K352" s="23" t="n"/>
      <c r="L352" s="20" t="n"/>
      <c r="M352" s="19" t="n"/>
      <c r="N352" s="20" t="n"/>
      <c r="O352" s="23" t="n"/>
      <c r="P352" s="18">
        <f>IF(B352="","",IF(M352="",IF(L352="Карантин",INT(TODAY())-B352,""),M352-B352))</f>
        <v/>
      </c>
      <c r="Q352" s="18">
        <f>IF(C352="","",IFERROR(INDEX(Справочники!$D$6:$D$45,MATCH(C352,Справочники!$A$6:$A$45,0)),""))</f>
        <v/>
      </c>
    </row>
    <row r="353">
      <c r="A353" s="18">
        <f>IF(B353="","",ROW()-5)</f>
        <v/>
      </c>
      <c r="B353" s="19" t="n"/>
      <c r="C353" s="20" t="n"/>
      <c r="D353" s="21">
        <f>IF(C353="","",IFERROR(INDEX(Справочники!$B$6:$B$45,MATCH(C353,Справочники!$A$6:$A$45,0)),"нет в справочнике"))</f>
        <v/>
      </c>
      <c r="E353" s="20" t="n"/>
      <c r="F353" s="20" t="n"/>
      <c r="G353" s="20" t="n"/>
      <c r="H353" s="20" t="n"/>
      <c r="I353" s="18">
        <f>IF(C353="","",IFERROR(INDEX(Справочники!$C$6:$C$45,MATCH(C353,Справочники!$A$6:$A$45,0)),""))</f>
        <v/>
      </c>
      <c r="J353" s="22">
        <f>IF(C353="","",IFERROR(INDEX(Справочники!$E$6:$E$45,MATCH(C353,Справочники!$A$6:$A$45,0)),""))</f>
        <v/>
      </c>
      <c r="K353" s="23" t="n"/>
      <c r="L353" s="20" t="n"/>
      <c r="M353" s="19" t="n"/>
      <c r="N353" s="20" t="n"/>
      <c r="O353" s="23" t="n"/>
      <c r="P353" s="18">
        <f>IF(B353="","",IF(M353="",IF(L353="Карантин",INT(TODAY())-B353,""),M353-B353))</f>
        <v/>
      </c>
      <c r="Q353" s="18">
        <f>IF(C353="","",IFERROR(INDEX(Справочники!$D$6:$D$45,MATCH(C353,Справочники!$A$6:$A$45,0)),""))</f>
        <v/>
      </c>
    </row>
    <row r="354">
      <c r="A354" s="18">
        <f>IF(B354="","",ROW()-5)</f>
        <v/>
      </c>
      <c r="B354" s="19" t="n"/>
      <c r="C354" s="20" t="n"/>
      <c r="D354" s="21">
        <f>IF(C354="","",IFERROR(INDEX(Справочники!$B$6:$B$45,MATCH(C354,Справочники!$A$6:$A$45,0)),"нет в справочнике"))</f>
        <v/>
      </c>
      <c r="E354" s="20" t="n"/>
      <c r="F354" s="20" t="n"/>
      <c r="G354" s="20" t="n"/>
      <c r="H354" s="20" t="n"/>
      <c r="I354" s="18">
        <f>IF(C354="","",IFERROR(INDEX(Справочники!$C$6:$C$45,MATCH(C354,Справочники!$A$6:$A$45,0)),""))</f>
        <v/>
      </c>
      <c r="J354" s="22">
        <f>IF(C354="","",IFERROR(INDEX(Справочники!$E$6:$E$45,MATCH(C354,Справочники!$A$6:$A$45,0)),""))</f>
        <v/>
      </c>
      <c r="K354" s="23" t="n"/>
      <c r="L354" s="20" t="n"/>
      <c r="M354" s="19" t="n"/>
      <c r="N354" s="20" t="n"/>
      <c r="O354" s="23" t="n"/>
      <c r="P354" s="18">
        <f>IF(B354="","",IF(M354="",IF(L354="Карантин",INT(TODAY())-B354,""),M354-B354))</f>
        <v/>
      </c>
      <c r="Q354" s="18">
        <f>IF(C354="","",IFERROR(INDEX(Справочники!$D$6:$D$45,MATCH(C354,Справочники!$A$6:$A$45,0)),""))</f>
        <v/>
      </c>
    </row>
    <row r="355">
      <c r="A355" s="18">
        <f>IF(B355="","",ROW()-5)</f>
        <v/>
      </c>
      <c r="B355" s="19" t="n"/>
      <c r="C355" s="20" t="n"/>
      <c r="D355" s="21">
        <f>IF(C355="","",IFERROR(INDEX(Справочники!$B$6:$B$45,MATCH(C355,Справочники!$A$6:$A$45,0)),"нет в справочнике"))</f>
        <v/>
      </c>
      <c r="E355" s="20" t="n"/>
      <c r="F355" s="20" t="n"/>
      <c r="G355" s="20" t="n"/>
      <c r="H355" s="20" t="n"/>
      <c r="I355" s="18">
        <f>IF(C355="","",IFERROR(INDEX(Справочники!$C$6:$C$45,MATCH(C355,Справочники!$A$6:$A$45,0)),""))</f>
        <v/>
      </c>
      <c r="J355" s="22">
        <f>IF(C355="","",IFERROR(INDEX(Справочники!$E$6:$E$45,MATCH(C355,Справочники!$A$6:$A$45,0)),""))</f>
        <v/>
      </c>
      <c r="K355" s="23" t="n"/>
      <c r="L355" s="20" t="n"/>
      <c r="M355" s="19" t="n"/>
      <c r="N355" s="20" t="n"/>
      <c r="O355" s="23" t="n"/>
      <c r="P355" s="18">
        <f>IF(B355="","",IF(M355="",IF(L355="Карантин",INT(TODAY())-B355,""),M355-B355))</f>
        <v/>
      </c>
      <c r="Q355" s="18">
        <f>IF(C355="","",IFERROR(INDEX(Справочники!$D$6:$D$45,MATCH(C355,Справочники!$A$6:$A$45,0)),""))</f>
        <v/>
      </c>
    </row>
    <row r="356">
      <c r="A356" s="18">
        <f>IF(B356="","",ROW()-5)</f>
        <v/>
      </c>
      <c r="B356" s="19" t="n"/>
      <c r="C356" s="20" t="n"/>
      <c r="D356" s="21">
        <f>IF(C356="","",IFERROR(INDEX(Справочники!$B$6:$B$45,MATCH(C356,Справочники!$A$6:$A$45,0)),"нет в справочнике"))</f>
        <v/>
      </c>
      <c r="E356" s="20" t="n"/>
      <c r="F356" s="20" t="n"/>
      <c r="G356" s="20" t="n"/>
      <c r="H356" s="20" t="n"/>
      <c r="I356" s="18">
        <f>IF(C356="","",IFERROR(INDEX(Справочники!$C$6:$C$45,MATCH(C356,Справочники!$A$6:$A$45,0)),""))</f>
        <v/>
      </c>
      <c r="J356" s="22">
        <f>IF(C356="","",IFERROR(INDEX(Справочники!$E$6:$E$45,MATCH(C356,Справочники!$A$6:$A$45,0)),""))</f>
        <v/>
      </c>
      <c r="K356" s="23" t="n"/>
      <c r="L356" s="20" t="n"/>
      <c r="M356" s="19" t="n"/>
      <c r="N356" s="20" t="n"/>
      <c r="O356" s="23" t="n"/>
      <c r="P356" s="18">
        <f>IF(B356="","",IF(M356="",IF(L356="Карантин",INT(TODAY())-B356,""),M356-B356))</f>
        <v/>
      </c>
      <c r="Q356" s="18">
        <f>IF(C356="","",IFERROR(INDEX(Справочники!$D$6:$D$45,MATCH(C356,Справочники!$A$6:$A$45,0)),""))</f>
        <v/>
      </c>
    </row>
    <row r="357">
      <c r="A357" s="18">
        <f>IF(B357="","",ROW()-5)</f>
        <v/>
      </c>
      <c r="B357" s="19" t="n"/>
      <c r="C357" s="20" t="n"/>
      <c r="D357" s="21">
        <f>IF(C357="","",IFERROR(INDEX(Справочники!$B$6:$B$45,MATCH(C357,Справочники!$A$6:$A$45,0)),"нет в справочнике"))</f>
        <v/>
      </c>
      <c r="E357" s="20" t="n"/>
      <c r="F357" s="20" t="n"/>
      <c r="G357" s="20" t="n"/>
      <c r="H357" s="20" t="n"/>
      <c r="I357" s="18">
        <f>IF(C357="","",IFERROR(INDEX(Справочники!$C$6:$C$45,MATCH(C357,Справочники!$A$6:$A$45,0)),""))</f>
        <v/>
      </c>
      <c r="J357" s="22">
        <f>IF(C357="","",IFERROR(INDEX(Справочники!$E$6:$E$45,MATCH(C357,Справочники!$A$6:$A$45,0)),""))</f>
        <v/>
      </c>
      <c r="K357" s="23" t="n"/>
      <c r="L357" s="20" t="n"/>
      <c r="M357" s="19" t="n"/>
      <c r="N357" s="20" t="n"/>
      <c r="O357" s="23" t="n"/>
      <c r="P357" s="18">
        <f>IF(B357="","",IF(M357="",IF(L357="Карантин",INT(TODAY())-B357,""),M357-B357))</f>
        <v/>
      </c>
      <c r="Q357" s="18">
        <f>IF(C357="","",IFERROR(INDEX(Справочники!$D$6:$D$45,MATCH(C357,Справочники!$A$6:$A$45,0)),""))</f>
        <v/>
      </c>
    </row>
    <row r="358">
      <c r="A358" s="18">
        <f>IF(B358="","",ROW()-5)</f>
        <v/>
      </c>
      <c r="B358" s="19" t="n"/>
      <c r="C358" s="20" t="n"/>
      <c r="D358" s="21">
        <f>IF(C358="","",IFERROR(INDEX(Справочники!$B$6:$B$45,MATCH(C358,Справочники!$A$6:$A$45,0)),"нет в справочнике"))</f>
        <v/>
      </c>
      <c r="E358" s="20" t="n"/>
      <c r="F358" s="20" t="n"/>
      <c r="G358" s="20" t="n"/>
      <c r="H358" s="20" t="n"/>
      <c r="I358" s="18">
        <f>IF(C358="","",IFERROR(INDEX(Справочники!$C$6:$C$45,MATCH(C358,Справочники!$A$6:$A$45,0)),""))</f>
        <v/>
      </c>
      <c r="J358" s="22">
        <f>IF(C358="","",IFERROR(INDEX(Справочники!$E$6:$E$45,MATCH(C358,Справочники!$A$6:$A$45,0)),""))</f>
        <v/>
      </c>
      <c r="K358" s="23" t="n"/>
      <c r="L358" s="20" t="n"/>
      <c r="M358" s="19" t="n"/>
      <c r="N358" s="20" t="n"/>
      <c r="O358" s="23" t="n"/>
      <c r="P358" s="18">
        <f>IF(B358="","",IF(M358="",IF(L358="Карантин",INT(TODAY())-B358,""),M358-B358))</f>
        <v/>
      </c>
      <c r="Q358" s="18">
        <f>IF(C358="","",IFERROR(INDEX(Справочники!$D$6:$D$45,MATCH(C358,Справочники!$A$6:$A$45,0)),""))</f>
        <v/>
      </c>
    </row>
    <row r="359">
      <c r="A359" s="18">
        <f>IF(B359="","",ROW()-5)</f>
        <v/>
      </c>
      <c r="B359" s="19" t="n"/>
      <c r="C359" s="20" t="n"/>
      <c r="D359" s="21">
        <f>IF(C359="","",IFERROR(INDEX(Справочники!$B$6:$B$45,MATCH(C359,Справочники!$A$6:$A$45,0)),"нет в справочнике"))</f>
        <v/>
      </c>
      <c r="E359" s="20" t="n"/>
      <c r="F359" s="20" t="n"/>
      <c r="G359" s="20" t="n"/>
      <c r="H359" s="20" t="n"/>
      <c r="I359" s="18">
        <f>IF(C359="","",IFERROR(INDEX(Справочники!$C$6:$C$45,MATCH(C359,Справочники!$A$6:$A$45,0)),""))</f>
        <v/>
      </c>
      <c r="J359" s="22">
        <f>IF(C359="","",IFERROR(INDEX(Справочники!$E$6:$E$45,MATCH(C359,Справочники!$A$6:$A$45,0)),""))</f>
        <v/>
      </c>
      <c r="K359" s="23" t="n"/>
      <c r="L359" s="20" t="n"/>
      <c r="M359" s="19" t="n"/>
      <c r="N359" s="20" t="n"/>
      <c r="O359" s="23" t="n"/>
      <c r="P359" s="18">
        <f>IF(B359="","",IF(M359="",IF(L359="Карантин",INT(TODAY())-B359,""),M359-B359))</f>
        <v/>
      </c>
      <c r="Q359" s="18">
        <f>IF(C359="","",IFERROR(INDEX(Справочники!$D$6:$D$45,MATCH(C359,Справочники!$A$6:$A$45,0)),""))</f>
        <v/>
      </c>
    </row>
    <row r="360">
      <c r="A360" s="18">
        <f>IF(B360="","",ROW()-5)</f>
        <v/>
      </c>
      <c r="B360" s="19" t="n"/>
      <c r="C360" s="20" t="n"/>
      <c r="D360" s="21">
        <f>IF(C360="","",IFERROR(INDEX(Справочники!$B$6:$B$45,MATCH(C360,Справочники!$A$6:$A$45,0)),"нет в справочнике"))</f>
        <v/>
      </c>
      <c r="E360" s="20" t="n"/>
      <c r="F360" s="20" t="n"/>
      <c r="G360" s="20" t="n"/>
      <c r="H360" s="20" t="n"/>
      <c r="I360" s="18">
        <f>IF(C360="","",IFERROR(INDEX(Справочники!$C$6:$C$45,MATCH(C360,Справочники!$A$6:$A$45,0)),""))</f>
        <v/>
      </c>
      <c r="J360" s="22">
        <f>IF(C360="","",IFERROR(INDEX(Справочники!$E$6:$E$45,MATCH(C360,Справочники!$A$6:$A$45,0)),""))</f>
        <v/>
      </c>
      <c r="K360" s="23" t="n"/>
      <c r="L360" s="20" t="n"/>
      <c r="M360" s="19" t="n"/>
      <c r="N360" s="20" t="n"/>
      <c r="O360" s="23" t="n"/>
      <c r="P360" s="18">
        <f>IF(B360="","",IF(M360="",IF(L360="Карантин",INT(TODAY())-B360,""),M360-B360))</f>
        <v/>
      </c>
      <c r="Q360" s="18">
        <f>IF(C360="","",IFERROR(INDEX(Справочники!$D$6:$D$45,MATCH(C360,Справочники!$A$6:$A$45,0)),""))</f>
        <v/>
      </c>
    </row>
    <row r="361">
      <c r="A361" s="18">
        <f>IF(B361="","",ROW()-5)</f>
        <v/>
      </c>
      <c r="B361" s="19" t="n"/>
      <c r="C361" s="20" t="n"/>
      <c r="D361" s="21">
        <f>IF(C361="","",IFERROR(INDEX(Справочники!$B$6:$B$45,MATCH(C361,Справочники!$A$6:$A$45,0)),"нет в справочнике"))</f>
        <v/>
      </c>
      <c r="E361" s="20" t="n"/>
      <c r="F361" s="20" t="n"/>
      <c r="G361" s="20" t="n"/>
      <c r="H361" s="20" t="n"/>
      <c r="I361" s="18">
        <f>IF(C361="","",IFERROR(INDEX(Справочники!$C$6:$C$45,MATCH(C361,Справочники!$A$6:$A$45,0)),""))</f>
        <v/>
      </c>
      <c r="J361" s="22">
        <f>IF(C361="","",IFERROR(INDEX(Справочники!$E$6:$E$45,MATCH(C361,Справочники!$A$6:$A$45,0)),""))</f>
        <v/>
      </c>
      <c r="K361" s="23" t="n"/>
      <c r="L361" s="20" t="n"/>
      <c r="M361" s="19" t="n"/>
      <c r="N361" s="20" t="n"/>
      <c r="O361" s="23" t="n"/>
      <c r="P361" s="18">
        <f>IF(B361="","",IF(M361="",IF(L361="Карантин",INT(TODAY())-B361,""),M361-B361))</f>
        <v/>
      </c>
      <c r="Q361" s="18">
        <f>IF(C361="","",IFERROR(INDEX(Справочники!$D$6:$D$45,MATCH(C361,Справочники!$A$6:$A$45,0)),""))</f>
        <v/>
      </c>
    </row>
    <row r="362">
      <c r="A362" s="18">
        <f>IF(B362="","",ROW()-5)</f>
        <v/>
      </c>
      <c r="B362" s="19" t="n"/>
      <c r="C362" s="20" t="n"/>
      <c r="D362" s="21">
        <f>IF(C362="","",IFERROR(INDEX(Справочники!$B$6:$B$45,MATCH(C362,Справочники!$A$6:$A$45,0)),"нет в справочнике"))</f>
        <v/>
      </c>
      <c r="E362" s="20" t="n"/>
      <c r="F362" s="20" t="n"/>
      <c r="G362" s="20" t="n"/>
      <c r="H362" s="20" t="n"/>
      <c r="I362" s="18">
        <f>IF(C362="","",IFERROR(INDEX(Справочники!$C$6:$C$45,MATCH(C362,Справочники!$A$6:$A$45,0)),""))</f>
        <v/>
      </c>
      <c r="J362" s="22">
        <f>IF(C362="","",IFERROR(INDEX(Справочники!$E$6:$E$45,MATCH(C362,Справочники!$A$6:$A$45,0)),""))</f>
        <v/>
      </c>
      <c r="K362" s="23" t="n"/>
      <c r="L362" s="20" t="n"/>
      <c r="M362" s="19" t="n"/>
      <c r="N362" s="20" t="n"/>
      <c r="O362" s="23" t="n"/>
      <c r="P362" s="18">
        <f>IF(B362="","",IF(M362="",IF(L362="Карантин",INT(TODAY())-B362,""),M362-B362))</f>
        <v/>
      </c>
      <c r="Q362" s="18">
        <f>IF(C362="","",IFERROR(INDEX(Справочники!$D$6:$D$45,MATCH(C362,Справочники!$A$6:$A$45,0)),""))</f>
        <v/>
      </c>
    </row>
    <row r="363">
      <c r="A363" s="18">
        <f>IF(B363="","",ROW()-5)</f>
        <v/>
      </c>
      <c r="B363" s="19" t="n"/>
      <c r="C363" s="20" t="n"/>
      <c r="D363" s="21">
        <f>IF(C363="","",IFERROR(INDEX(Справочники!$B$6:$B$45,MATCH(C363,Справочники!$A$6:$A$45,0)),"нет в справочнике"))</f>
        <v/>
      </c>
      <c r="E363" s="20" t="n"/>
      <c r="F363" s="20" t="n"/>
      <c r="G363" s="20" t="n"/>
      <c r="H363" s="20" t="n"/>
      <c r="I363" s="18">
        <f>IF(C363="","",IFERROR(INDEX(Справочники!$C$6:$C$45,MATCH(C363,Справочники!$A$6:$A$45,0)),""))</f>
        <v/>
      </c>
      <c r="J363" s="22">
        <f>IF(C363="","",IFERROR(INDEX(Справочники!$E$6:$E$45,MATCH(C363,Справочники!$A$6:$A$45,0)),""))</f>
        <v/>
      </c>
      <c r="K363" s="23" t="n"/>
      <c r="L363" s="20" t="n"/>
      <c r="M363" s="19" t="n"/>
      <c r="N363" s="20" t="n"/>
      <c r="O363" s="23" t="n"/>
      <c r="P363" s="18">
        <f>IF(B363="","",IF(M363="",IF(L363="Карантин",INT(TODAY())-B363,""),M363-B363))</f>
        <v/>
      </c>
      <c r="Q363" s="18">
        <f>IF(C363="","",IFERROR(INDEX(Справочники!$D$6:$D$45,MATCH(C363,Справочники!$A$6:$A$45,0)),""))</f>
        <v/>
      </c>
    </row>
    <row r="364">
      <c r="A364" s="18">
        <f>IF(B364="","",ROW()-5)</f>
        <v/>
      </c>
      <c r="B364" s="19" t="n"/>
      <c r="C364" s="20" t="n"/>
      <c r="D364" s="21">
        <f>IF(C364="","",IFERROR(INDEX(Справочники!$B$6:$B$45,MATCH(C364,Справочники!$A$6:$A$45,0)),"нет в справочнике"))</f>
        <v/>
      </c>
      <c r="E364" s="20" t="n"/>
      <c r="F364" s="20" t="n"/>
      <c r="G364" s="20" t="n"/>
      <c r="H364" s="20" t="n"/>
      <c r="I364" s="18">
        <f>IF(C364="","",IFERROR(INDEX(Справочники!$C$6:$C$45,MATCH(C364,Справочники!$A$6:$A$45,0)),""))</f>
        <v/>
      </c>
      <c r="J364" s="22">
        <f>IF(C364="","",IFERROR(INDEX(Справочники!$E$6:$E$45,MATCH(C364,Справочники!$A$6:$A$45,0)),""))</f>
        <v/>
      </c>
      <c r="K364" s="23" t="n"/>
      <c r="L364" s="20" t="n"/>
      <c r="M364" s="19" t="n"/>
      <c r="N364" s="20" t="n"/>
      <c r="O364" s="23" t="n"/>
      <c r="P364" s="18">
        <f>IF(B364="","",IF(M364="",IF(L364="Карантин",INT(TODAY())-B364,""),M364-B364))</f>
        <v/>
      </c>
      <c r="Q364" s="18">
        <f>IF(C364="","",IFERROR(INDEX(Справочники!$D$6:$D$45,MATCH(C364,Справочники!$A$6:$A$45,0)),""))</f>
        <v/>
      </c>
    </row>
    <row r="365">
      <c r="A365" s="18">
        <f>IF(B365="","",ROW()-5)</f>
        <v/>
      </c>
      <c r="B365" s="19" t="n"/>
      <c r="C365" s="20" t="n"/>
      <c r="D365" s="21">
        <f>IF(C365="","",IFERROR(INDEX(Справочники!$B$6:$B$45,MATCH(C365,Справочники!$A$6:$A$45,0)),"нет в справочнике"))</f>
        <v/>
      </c>
      <c r="E365" s="20" t="n"/>
      <c r="F365" s="20" t="n"/>
      <c r="G365" s="20" t="n"/>
      <c r="H365" s="20" t="n"/>
      <c r="I365" s="18">
        <f>IF(C365="","",IFERROR(INDEX(Справочники!$C$6:$C$45,MATCH(C365,Справочники!$A$6:$A$45,0)),""))</f>
        <v/>
      </c>
      <c r="J365" s="22">
        <f>IF(C365="","",IFERROR(INDEX(Справочники!$E$6:$E$45,MATCH(C365,Справочники!$A$6:$A$45,0)),""))</f>
        <v/>
      </c>
      <c r="K365" s="23" t="n"/>
      <c r="L365" s="20" t="n"/>
      <c r="M365" s="19" t="n"/>
      <c r="N365" s="20" t="n"/>
      <c r="O365" s="23" t="n"/>
      <c r="P365" s="18">
        <f>IF(B365="","",IF(M365="",IF(L365="Карантин",INT(TODAY())-B365,""),M365-B365))</f>
        <v/>
      </c>
      <c r="Q365" s="18">
        <f>IF(C365="","",IFERROR(INDEX(Справочники!$D$6:$D$45,MATCH(C365,Справочники!$A$6:$A$45,0)),""))</f>
        <v/>
      </c>
    </row>
    <row r="366">
      <c r="A366" s="18">
        <f>IF(B366="","",ROW()-5)</f>
        <v/>
      </c>
      <c r="B366" s="19" t="n"/>
      <c r="C366" s="20" t="n"/>
      <c r="D366" s="21">
        <f>IF(C366="","",IFERROR(INDEX(Справочники!$B$6:$B$45,MATCH(C366,Справочники!$A$6:$A$45,0)),"нет в справочнике"))</f>
        <v/>
      </c>
      <c r="E366" s="20" t="n"/>
      <c r="F366" s="20" t="n"/>
      <c r="G366" s="20" t="n"/>
      <c r="H366" s="20" t="n"/>
      <c r="I366" s="18">
        <f>IF(C366="","",IFERROR(INDEX(Справочники!$C$6:$C$45,MATCH(C366,Справочники!$A$6:$A$45,0)),""))</f>
        <v/>
      </c>
      <c r="J366" s="22">
        <f>IF(C366="","",IFERROR(INDEX(Справочники!$E$6:$E$45,MATCH(C366,Справочники!$A$6:$A$45,0)),""))</f>
        <v/>
      </c>
      <c r="K366" s="23" t="n"/>
      <c r="L366" s="20" t="n"/>
      <c r="M366" s="19" t="n"/>
      <c r="N366" s="20" t="n"/>
      <c r="O366" s="23" t="n"/>
      <c r="P366" s="18">
        <f>IF(B366="","",IF(M366="",IF(L366="Карантин",INT(TODAY())-B366,""),M366-B366))</f>
        <v/>
      </c>
      <c r="Q366" s="18">
        <f>IF(C366="","",IFERROR(INDEX(Справочники!$D$6:$D$45,MATCH(C366,Справочники!$A$6:$A$45,0)),""))</f>
        <v/>
      </c>
    </row>
    <row r="367">
      <c r="A367" s="18">
        <f>IF(B367="","",ROW()-5)</f>
        <v/>
      </c>
      <c r="B367" s="19" t="n"/>
      <c r="C367" s="20" t="n"/>
      <c r="D367" s="21">
        <f>IF(C367="","",IFERROR(INDEX(Справочники!$B$6:$B$45,MATCH(C367,Справочники!$A$6:$A$45,0)),"нет в справочнике"))</f>
        <v/>
      </c>
      <c r="E367" s="20" t="n"/>
      <c r="F367" s="20" t="n"/>
      <c r="G367" s="20" t="n"/>
      <c r="H367" s="20" t="n"/>
      <c r="I367" s="18">
        <f>IF(C367="","",IFERROR(INDEX(Справочники!$C$6:$C$45,MATCH(C367,Справочники!$A$6:$A$45,0)),""))</f>
        <v/>
      </c>
      <c r="J367" s="22">
        <f>IF(C367="","",IFERROR(INDEX(Справочники!$E$6:$E$45,MATCH(C367,Справочники!$A$6:$A$45,0)),""))</f>
        <v/>
      </c>
      <c r="K367" s="23" t="n"/>
      <c r="L367" s="20" t="n"/>
      <c r="M367" s="19" t="n"/>
      <c r="N367" s="20" t="n"/>
      <c r="O367" s="23" t="n"/>
      <c r="P367" s="18">
        <f>IF(B367="","",IF(M367="",IF(L367="Карантин",INT(TODAY())-B367,""),M367-B367))</f>
        <v/>
      </c>
      <c r="Q367" s="18">
        <f>IF(C367="","",IFERROR(INDEX(Справочники!$D$6:$D$45,MATCH(C367,Справочники!$A$6:$A$45,0)),""))</f>
        <v/>
      </c>
    </row>
    <row r="368">
      <c r="A368" s="18">
        <f>IF(B368="","",ROW()-5)</f>
        <v/>
      </c>
      <c r="B368" s="19" t="n"/>
      <c r="C368" s="20" t="n"/>
      <c r="D368" s="21">
        <f>IF(C368="","",IFERROR(INDEX(Справочники!$B$6:$B$45,MATCH(C368,Справочники!$A$6:$A$45,0)),"нет в справочнике"))</f>
        <v/>
      </c>
      <c r="E368" s="20" t="n"/>
      <c r="F368" s="20" t="n"/>
      <c r="G368" s="20" t="n"/>
      <c r="H368" s="20" t="n"/>
      <c r="I368" s="18">
        <f>IF(C368="","",IFERROR(INDEX(Справочники!$C$6:$C$45,MATCH(C368,Справочники!$A$6:$A$45,0)),""))</f>
        <v/>
      </c>
      <c r="J368" s="22">
        <f>IF(C368="","",IFERROR(INDEX(Справочники!$E$6:$E$45,MATCH(C368,Справочники!$A$6:$A$45,0)),""))</f>
        <v/>
      </c>
      <c r="K368" s="23" t="n"/>
      <c r="L368" s="20" t="n"/>
      <c r="M368" s="19" t="n"/>
      <c r="N368" s="20" t="n"/>
      <c r="O368" s="23" t="n"/>
      <c r="P368" s="18">
        <f>IF(B368="","",IF(M368="",IF(L368="Карантин",INT(TODAY())-B368,""),M368-B368))</f>
        <v/>
      </c>
      <c r="Q368" s="18">
        <f>IF(C368="","",IFERROR(INDEX(Справочники!$D$6:$D$45,MATCH(C368,Справочники!$A$6:$A$45,0)),""))</f>
        <v/>
      </c>
    </row>
    <row r="369">
      <c r="A369" s="18">
        <f>IF(B369="","",ROW()-5)</f>
        <v/>
      </c>
      <c r="B369" s="19" t="n"/>
      <c r="C369" s="20" t="n"/>
      <c r="D369" s="21">
        <f>IF(C369="","",IFERROR(INDEX(Справочники!$B$6:$B$45,MATCH(C369,Справочники!$A$6:$A$45,0)),"нет в справочнике"))</f>
        <v/>
      </c>
      <c r="E369" s="20" t="n"/>
      <c r="F369" s="20" t="n"/>
      <c r="G369" s="20" t="n"/>
      <c r="H369" s="20" t="n"/>
      <c r="I369" s="18">
        <f>IF(C369="","",IFERROR(INDEX(Справочники!$C$6:$C$45,MATCH(C369,Справочники!$A$6:$A$45,0)),""))</f>
        <v/>
      </c>
      <c r="J369" s="22">
        <f>IF(C369="","",IFERROR(INDEX(Справочники!$E$6:$E$45,MATCH(C369,Справочники!$A$6:$A$45,0)),""))</f>
        <v/>
      </c>
      <c r="K369" s="23" t="n"/>
      <c r="L369" s="20" t="n"/>
      <c r="M369" s="19" t="n"/>
      <c r="N369" s="20" t="n"/>
      <c r="O369" s="23" t="n"/>
      <c r="P369" s="18">
        <f>IF(B369="","",IF(M369="",IF(L369="Карантин",INT(TODAY())-B369,""),M369-B369))</f>
        <v/>
      </c>
      <c r="Q369" s="18">
        <f>IF(C369="","",IFERROR(INDEX(Справочники!$D$6:$D$45,MATCH(C369,Справочники!$A$6:$A$45,0)),""))</f>
        <v/>
      </c>
    </row>
    <row r="370">
      <c r="A370" s="18">
        <f>IF(B370="","",ROW()-5)</f>
        <v/>
      </c>
      <c r="B370" s="19" t="n"/>
      <c r="C370" s="20" t="n"/>
      <c r="D370" s="21">
        <f>IF(C370="","",IFERROR(INDEX(Справочники!$B$6:$B$45,MATCH(C370,Справочники!$A$6:$A$45,0)),"нет в справочнике"))</f>
        <v/>
      </c>
      <c r="E370" s="20" t="n"/>
      <c r="F370" s="20" t="n"/>
      <c r="G370" s="20" t="n"/>
      <c r="H370" s="20" t="n"/>
      <c r="I370" s="18">
        <f>IF(C370="","",IFERROR(INDEX(Справочники!$C$6:$C$45,MATCH(C370,Справочники!$A$6:$A$45,0)),""))</f>
        <v/>
      </c>
      <c r="J370" s="22">
        <f>IF(C370="","",IFERROR(INDEX(Справочники!$E$6:$E$45,MATCH(C370,Справочники!$A$6:$A$45,0)),""))</f>
        <v/>
      </c>
      <c r="K370" s="23" t="n"/>
      <c r="L370" s="20" t="n"/>
      <c r="M370" s="19" t="n"/>
      <c r="N370" s="20" t="n"/>
      <c r="O370" s="23" t="n"/>
      <c r="P370" s="18">
        <f>IF(B370="","",IF(M370="",IF(L370="Карантин",INT(TODAY())-B370,""),M370-B370))</f>
        <v/>
      </c>
      <c r="Q370" s="18">
        <f>IF(C370="","",IFERROR(INDEX(Справочники!$D$6:$D$45,MATCH(C370,Справочники!$A$6:$A$45,0)),""))</f>
        <v/>
      </c>
    </row>
    <row r="371">
      <c r="A371" s="18">
        <f>IF(B371="","",ROW()-5)</f>
        <v/>
      </c>
      <c r="B371" s="19" t="n"/>
      <c r="C371" s="20" t="n"/>
      <c r="D371" s="21">
        <f>IF(C371="","",IFERROR(INDEX(Справочники!$B$6:$B$45,MATCH(C371,Справочники!$A$6:$A$45,0)),"нет в справочнике"))</f>
        <v/>
      </c>
      <c r="E371" s="20" t="n"/>
      <c r="F371" s="20" t="n"/>
      <c r="G371" s="20" t="n"/>
      <c r="H371" s="20" t="n"/>
      <c r="I371" s="18">
        <f>IF(C371="","",IFERROR(INDEX(Справочники!$C$6:$C$45,MATCH(C371,Справочники!$A$6:$A$45,0)),""))</f>
        <v/>
      </c>
      <c r="J371" s="22">
        <f>IF(C371="","",IFERROR(INDEX(Справочники!$E$6:$E$45,MATCH(C371,Справочники!$A$6:$A$45,0)),""))</f>
        <v/>
      </c>
      <c r="K371" s="23" t="n"/>
      <c r="L371" s="20" t="n"/>
      <c r="M371" s="19" t="n"/>
      <c r="N371" s="20" t="n"/>
      <c r="O371" s="23" t="n"/>
      <c r="P371" s="18">
        <f>IF(B371="","",IF(M371="",IF(L371="Карантин",INT(TODAY())-B371,""),M371-B371))</f>
        <v/>
      </c>
      <c r="Q371" s="18">
        <f>IF(C371="","",IFERROR(INDEX(Справочники!$D$6:$D$45,MATCH(C371,Справочники!$A$6:$A$45,0)),""))</f>
        <v/>
      </c>
    </row>
    <row r="372">
      <c r="A372" s="18">
        <f>IF(B372="","",ROW()-5)</f>
        <v/>
      </c>
      <c r="B372" s="19" t="n"/>
      <c r="C372" s="20" t="n"/>
      <c r="D372" s="21">
        <f>IF(C372="","",IFERROR(INDEX(Справочники!$B$6:$B$45,MATCH(C372,Справочники!$A$6:$A$45,0)),"нет в справочнике"))</f>
        <v/>
      </c>
      <c r="E372" s="20" t="n"/>
      <c r="F372" s="20" t="n"/>
      <c r="G372" s="20" t="n"/>
      <c r="H372" s="20" t="n"/>
      <c r="I372" s="18">
        <f>IF(C372="","",IFERROR(INDEX(Справочники!$C$6:$C$45,MATCH(C372,Справочники!$A$6:$A$45,0)),""))</f>
        <v/>
      </c>
      <c r="J372" s="22">
        <f>IF(C372="","",IFERROR(INDEX(Справочники!$E$6:$E$45,MATCH(C372,Справочники!$A$6:$A$45,0)),""))</f>
        <v/>
      </c>
      <c r="K372" s="23" t="n"/>
      <c r="L372" s="20" t="n"/>
      <c r="M372" s="19" t="n"/>
      <c r="N372" s="20" t="n"/>
      <c r="O372" s="23" t="n"/>
      <c r="P372" s="18">
        <f>IF(B372="","",IF(M372="",IF(L372="Карантин",INT(TODAY())-B372,""),M372-B372))</f>
        <v/>
      </c>
      <c r="Q372" s="18">
        <f>IF(C372="","",IFERROR(INDEX(Справочники!$D$6:$D$45,MATCH(C372,Справочники!$A$6:$A$45,0)),""))</f>
        <v/>
      </c>
    </row>
    <row r="373">
      <c r="A373" s="18">
        <f>IF(B373="","",ROW()-5)</f>
        <v/>
      </c>
      <c r="B373" s="19" t="n"/>
      <c r="C373" s="20" t="n"/>
      <c r="D373" s="21">
        <f>IF(C373="","",IFERROR(INDEX(Справочники!$B$6:$B$45,MATCH(C373,Справочники!$A$6:$A$45,0)),"нет в справочнике"))</f>
        <v/>
      </c>
      <c r="E373" s="20" t="n"/>
      <c r="F373" s="20" t="n"/>
      <c r="G373" s="20" t="n"/>
      <c r="H373" s="20" t="n"/>
      <c r="I373" s="18">
        <f>IF(C373="","",IFERROR(INDEX(Справочники!$C$6:$C$45,MATCH(C373,Справочники!$A$6:$A$45,0)),""))</f>
        <v/>
      </c>
      <c r="J373" s="22">
        <f>IF(C373="","",IFERROR(INDEX(Справочники!$E$6:$E$45,MATCH(C373,Справочники!$A$6:$A$45,0)),""))</f>
        <v/>
      </c>
      <c r="K373" s="23" t="n"/>
      <c r="L373" s="20" t="n"/>
      <c r="M373" s="19" t="n"/>
      <c r="N373" s="20" t="n"/>
      <c r="O373" s="23" t="n"/>
      <c r="P373" s="18">
        <f>IF(B373="","",IF(M373="",IF(L373="Карантин",INT(TODAY())-B373,""),M373-B373))</f>
        <v/>
      </c>
      <c r="Q373" s="18">
        <f>IF(C373="","",IFERROR(INDEX(Справочники!$D$6:$D$45,MATCH(C373,Справочники!$A$6:$A$45,0)),""))</f>
        <v/>
      </c>
    </row>
    <row r="374">
      <c r="A374" s="18">
        <f>IF(B374="","",ROW()-5)</f>
        <v/>
      </c>
      <c r="B374" s="19" t="n"/>
      <c r="C374" s="20" t="n"/>
      <c r="D374" s="21">
        <f>IF(C374="","",IFERROR(INDEX(Справочники!$B$6:$B$45,MATCH(C374,Справочники!$A$6:$A$45,0)),"нет в справочнике"))</f>
        <v/>
      </c>
      <c r="E374" s="20" t="n"/>
      <c r="F374" s="20" t="n"/>
      <c r="G374" s="20" t="n"/>
      <c r="H374" s="20" t="n"/>
      <c r="I374" s="18">
        <f>IF(C374="","",IFERROR(INDEX(Справочники!$C$6:$C$45,MATCH(C374,Справочники!$A$6:$A$45,0)),""))</f>
        <v/>
      </c>
      <c r="J374" s="22">
        <f>IF(C374="","",IFERROR(INDEX(Справочники!$E$6:$E$45,MATCH(C374,Справочники!$A$6:$A$45,0)),""))</f>
        <v/>
      </c>
      <c r="K374" s="23" t="n"/>
      <c r="L374" s="20" t="n"/>
      <c r="M374" s="19" t="n"/>
      <c r="N374" s="20" t="n"/>
      <c r="O374" s="23" t="n"/>
      <c r="P374" s="18">
        <f>IF(B374="","",IF(M374="",IF(L374="Карантин",INT(TODAY())-B374,""),M374-B374))</f>
        <v/>
      </c>
      <c r="Q374" s="18">
        <f>IF(C374="","",IFERROR(INDEX(Справочники!$D$6:$D$45,MATCH(C374,Справочники!$A$6:$A$45,0)),""))</f>
        <v/>
      </c>
    </row>
    <row r="375">
      <c r="A375" s="18">
        <f>IF(B375="","",ROW()-5)</f>
        <v/>
      </c>
      <c r="B375" s="19" t="n"/>
      <c r="C375" s="20" t="n"/>
      <c r="D375" s="21">
        <f>IF(C375="","",IFERROR(INDEX(Справочники!$B$6:$B$45,MATCH(C375,Справочники!$A$6:$A$45,0)),"нет в справочнике"))</f>
        <v/>
      </c>
      <c r="E375" s="20" t="n"/>
      <c r="F375" s="20" t="n"/>
      <c r="G375" s="20" t="n"/>
      <c r="H375" s="20" t="n"/>
      <c r="I375" s="18">
        <f>IF(C375="","",IFERROR(INDEX(Справочники!$C$6:$C$45,MATCH(C375,Справочники!$A$6:$A$45,0)),""))</f>
        <v/>
      </c>
      <c r="J375" s="22">
        <f>IF(C375="","",IFERROR(INDEX(Справочники!$E$6:$E$45,MATCH(C375,Справочники!$A$6:$A$45,0)),""))</f>
        <v/>
      </c>
      <c r="K375" s="23" t="n"/>
      <c r="L375" s="20" t="n"/>
      <c r="M375" s="19" t="n"/>
      <c r="N375" s="20" t="n"/>
      <c r="O375" s="23" t="n"/>
      <c r="P375" s="18">
        <f>IF(B375="","",IF(M375="",IF(L375="Карантин",INT(TODAY())-B375,""),M375-B375))</f>
        <v/>
      </c>
      <c r="Q375" s="18">
        <f>IF(C375="","",IFERROR(INDEX(Справочники!$D$6:$D$45,MATCH(C375,Справочники!$A$6:$A$45,0)),""))</f>
        <v/>
      </c>
    </row>
    <row r="376">
      <c r="A376" s="18">
        <f>IF(B376="","",ROW()-5)</f>
        <v/>
      </c>
      <c r="B376" s="19" t="n"/>
      <c r="C376" s="20" t="n"/>
      <c r="D376" s="21">
        <f>IF(C376="","",IFERROR(INDEX(Справочники!$B$6:$B$45,MATCH(C376,Справочники!$A$6:$A$45,0)),"нет в справочнике"))</f>
        <v/>
      </c>
      <c r="E376" s="20" t="n"/>
      <c r="F376" s="20" t="n"/>
      <c r="G376" s="20" t="n"/>
      <c r="H376" s="20" t="n"/>
      <c r="I376" s="18">
        <f>IF(C376="","",IFERROR(INDEX(Справочники!$C$6:$C$45,MATCH(C376,Справочники!$A$6:$A$45,0)),""))</f>
        <v/>
      </c>
      <c r="J376" s="22">
        <f>IF(C376="","",IFERROR(INDEX(Справочники!$E$6:$E$45,MATCH(C376,Справочники!$A$6:$A$45,0)),""))</f>
        <v/>
      </c>
      <c r="K376" s="23" t="n"/>
      <c r="L376" s="20" t="n"/>
      <c r="M376" s="19" t="n"/>
      <c r="N376" s="20" t="n"/>
      <c r="O376" s="23" t="n"/>
      <c r="P376" s="18">
        <f>IF(B376="","",IF(M376="",IF(L376="Карантин",INT(TODAY())-B376,""),M376-B376))</f>
        <v/>
      </c>
      <c r="Q376" s="18">
        <f>IF(C376="","",IFERROR(INDEX(Справочники!$D$6:$D$45,MATCH(C376,Справочники!$A$6:$A$45,0)),""))</f>
        <v/>
      </c>
    </row>
    <row r="377">
      <c r="A377" s="18">
        <f>IF(B377="","",ROW()-5)</f>
        <v/>
      </c>
      <c r="B377" s="19" t="n"/>
      <c r="C377" s="20" t="n"/>
      <c r="D377" s="21">
        <f>IF(C377="","",IFERROR(INDEX(Справочники!$B$6:$B$45,MATCH(C377,Справочники!$A$6:$A$45,0)),"нет в справочнике"))</f>
        <v/>
      </c>
      <c r="E377" s="20" t="n"/>
      <c r="F377" s="20" t="n"/>
      <c r="G377" s="20" t="n"/>
      <c r="H377" s="20" t="n"/>
      <c r="I377" s="18">
        <f>IF(C377="","",IFERROR(INDEX(Справочники!$C$6:$C$45,MATCH(C377,Справочники!$A$6:$A$45,0)),""))</f>
        <v/>
      </c>
      <c r="J377" s="22">
        <f>IF(C377="","",IFERROR(INDEX(Справочники!$E$6:$E$45,MATCH(C377,Справочники!$A$6:$A$45,0)),""))</f>
        <v/>
      </c>
      <c r="K377" s="23" t="n"/>
      <c r="L377" s="20" t="n"/>
      <c r="M377" s="19" t="n"/>
      <c r="N377" s="20" t="n"/>
      <c r="O377" s="23" t="n"/>
      <c r="P377" s="18">
        <f>IF(B377="","",IF(M377="",IF(L377="Карантин",INT(TODAY())-B377,""),M377-B377))</f>
        <v/>
      </c>
      <c r="Q377" s="18">
        <f>IF(C377="","",IFERROR(INDEX(Справочники!$D$6:$D$45,MATCH(C377,Справочники!$A$6:$A$45,0)),""))</f>
        <v/>
      </c>
    </row>
    <row r="378">
      <c r="A378" s="18">
        <f>IF(B378="","",ROW()-5)</f>
        <v/>
      </c>
      <c r="B378" s="19" t="n"/>
      <c r="C378" s="20" t="n"/>
      <c r="D378" s="21">
        <f>IF(C378="","",IFERROR(INDEX(Справочники!$B$6:$B$45,MATCH(C378,Справочники!$A$6:$A$45,0)),"нет в справочнике"))</f>
        <v/>
      </c>
      <c r="E378" s="20" t="n"/>
      <c r="F378" s="20" t="n"/>
      <c r="G378" s="20" t="n"/>
      <c r="H378" s="20" t="n"/>
      <c r="I378" s="18">
        <f>IF(C378="","",IFERROR(INDEX(Справочники!$C$6:$C$45,MATCH(C378,Справочники!$A$6:$A$45,0)),""))</f>
        <v/>
      </c>
      <c r="J378" s="22">
        <f>IF(C378="","",IFERROR(INDEX(Справочники!$E$6:$E$45,MATCH(C378,Справочники!$A$6:$A$45,0)),""))</f>
        <v/>
      </c>
      <c r="K378" s="23" t="n"/>
      <c r="L378" s="20" t="n"/>
      <c r="M378" s="19" t="n"/>
      <c r="N378" s="20" t="n"/>
      <c r="O378" s="23" t="n"/>
      <c r="P378" s="18">
        <f>IF(B378="","",IF(M378="",IF(L378="Карантин",INT(TODAY())-B378,""),M378-B378))</f>
        <v/>
      </c>
      <c r="Q378" s="18">
        <f>IF(C378="","",IFERROR(INDEX(Справочники!$D$6:$D$45,MATCH(C378,Справочники!$A$6:$A$45,0)),""))</f>
        <v/>
      </c>
    </row>
    <row r="379">
      <c r="A379" s="18">
        <f>IF(B379="","",ROW()-5)</f>
        <v/>
      </c>
      <c r="B379" s="19" t="n"/>
      <c r="C379" s="20" t="n"/>
      <c r="D379" s="21">
        <f>IF(C379="","",IFERROR(INDEX(Справочники!$B$6:$B$45,MATCH(C379,Справочники!$A$6:$A$45,0)),"нет в справочнике"))</f>
        <v/>
      </c>
      <c r="E379" s="20" t="n"/>
      <c r="F379" s="20" t="n"/>
      <c r="G379" s="20" t="n"/>
      <c r="H379" s="20" t="n"/>
      <c r="I379" s="18">
        <f>IF(C379="","",IFERROR(INDEX(Справочники!$C$6:$C$45,MATCH(C379,Справочники!$A$6:$A$45,0)),""))</f>
        <v/>
      </c>
      <c r="J379" s="22">
        <f>IF(C379="","",IFERROR(INDEX(Справочники!$E$6:$E$45,MATCH(C379,Справочники!$A$6:$A$45,0)),""))</f>
        <v/>
      </c>
      <c r="K379" s="23" t="n"/>
      <c r="L379" s="20" t="n"/>
      <c r="M379" s="19" t="n"/>
      <c r="N379" s="20" t="n"/>
      <c r="O379" s="23" t="n"/>
      <c r="P379" s="18">
        <f>IF(B379="","",IF(M379="",IF(L379="Карантин",INT(TODAY())-B379,""),M379-B379))</f>
        <v/>
      </c>
      <c r="Q379" s="18">
        <f>IF(C379="","",IFERROR(INDEX(Справочники!$D$6:$D$45,MATCH(C379,Справочники!$A$6:$A$45,0)),""))</f>
        <v/>
      </c>
    </row>
    <row r="380">
      <c r="A380" s="18">
        <f>IF(B380="","",ROW()-5)</f>
        <v/>
      </c>
      <c r="B380" s="19" t="n"/>
      <c r="C380" s="20" t="n"/>
      <c r="D380" s="21">
        <f>IF(C380="","",IFERROR(INDEX(Справочники!$B$6:$B$45,MATCH(C380,Справочники!$A$6:$A$45,0)),"нет в справочнике"))</f>
        <v/>
      </c>
      <c r="E380" s="20" t="n"/>
      <c r="F380" s="20" t="n"/>
      <c r="G380" s="20" t="n"/>
      <c r="H380" s="20" t="n"/>
      <c r="I380" s="18">
        <f>IF(C380="","",IFERROR(INDEX(Справочники!$C$6:$C$45,MATCH(C380,Справочники!$A$6:$A$45,0)),""))</f>
        <v/>
      </c>
      <c r="J380" s="22">
        <f>IF(C380="","",IFERROR(INDEX(Справочники!$E$6:$E$45,MATCH(C380,Справочники!$A$6:$A$45,0)),""))</f>
        <v/>
      </c>
      <c r="K380" s="23" t="n"/>
      <c r="L380" s="20" t="n"/>
      <c r="M380" s="19" t="n"/>
      <c r="N380" s="20" t="n"/>
      <c r="O380" s="23" t="n"/>
      <c r="P380" s="18">
        <f>IF(B380="","",IF(M380="",IF(L380="Карантин",INT(TODAY())-B380,""),M380-B380))</f>
        <v/>
      </c>
      <c r="Q380" s="18">
        <f>IF(C380="","",IFERROR(INDEX(Справочники!$D$6:$D$45,MATCH(C380,Справочники!$A$6:$A$45,0)),""))</f>
        <v/>
      </c>
    </row>
    <row r="381">
      <c r="A381" s="18">
        <f>IF(B381="","",ROW()-5)</f>
        <v/>
      </c>
      <c r="B381" s="19" t="n"/>
      <c r="C381" s="20" t="n"/>
      <c r="D381" s="21">
        <f>IF(C381="","",IFERROR(INDEX(Справочники!$B$6:$B$45,MATCH(C381,Справочники!$A$6:$A$45,0)),"нет в справочнике"))</f>
        <v/>
      </c>
      <c r="E381" s="20" t="n"/>
      <c r="F381" s="20" t="n"/>
      <c r="G381" s="20" t="n"/>
      <c r="H381" s="20" t="n"/>
      <c r="I381" s="18">
        <f>IF(C381="","",IFERROR(INDEX(Справочники!$C$6:$C$45,MATCH(C381,Справочники!$A$6:$A$45,0)),""))</f>
        <v/>
      </c>
      <c r="J381" s="22">
        <f>IF(C381="","",IFERROR(INDEX(Справочники!$E$6:$E$45,MATCH(C381,Справочники!$A$6:$A$45,0)),""))</f>
        <v/>
      </c>
      <c r="K381" s="23" t="n"/>
      <c r="L381" s="20" t="n"/>
      <c r="M381" s="19" t="n"/>
      <c r="N381" s="20" t="n"/>
      <c r="O381" s="23" t="n"/>
      <c r="P381" s="18">
        <f>IF(B381="","",IF(M381="",IF(L381="Карантин",INT(TODAY())-B381,""),M381-B381))</f>
        <v/>
      </c>
      <c r="Q381" s="18">
        <f>IF(C381="","",IFERROR(INDEX(Справочники!$D$6:$D$45,MATCH(C381,Справочники!$A$6:$A$45,0)),""))</f>
        <v/>
      </c>
    </row>
    <row r="382">
      <c r="A382" s="18">
        <f>IF(B382="","",ROW()-5)</f>
        <v/>
      </c>
      <c r="B382" s="19" t="n"/>
      <c r="C382" s="20" t="n"/>
      <c r="D382" s="21">
        <f>IF(C382="","",IFERROR(INDEX(Справочники!$B$6:$B$45,MATCH(C382,Справочники!$A$6:$A$45,0)),"нет в справочнике"))</f>
        <v/>
      </c>
      <c r="E382" s="20" t="n"/>
      <c r="F382" s="20" t="n"/>
      <c r="G382" s="20" t="n"/>
      <c r="H382" s="20" t="n"/>
      <c r="I382" s="18">
        <f>IF(C382="","",IFERROR(INDEX(Справочники!$C$6:$C$45,MATCH(C382,Справочники!$A$6:$A$45,0)),""))</f>
        <v/>
      </c>
      <c r="J382" s="22">
        <f>IF(C382="","",IFERROR(INDEX(Справочники!$E$6:$E$45,MATCH(C382,Справочники!$A$6:$A$45,0)),""))</f>
        <v/>
      </c>
      <c r="K382" s="23" t="n"/>
      <c r="L382" s="20" t="n"/>
      <c r="M382" s="19" t="n"/>
      <c r="N382" s="20" t="n"/>
      <c r="O382" s="23" t="n"/>
      <c r="P382" s="18">
        <f>IF(B382="","",IF(M382="",IF(L382="Карантин",INT(TODAY())-B382,""),M382-B382))</f>
        <v/>
      </c>
      <c r="Q382" s="18">
        <f>IF(C382="","",IFERROR(INDEX(Справочники!$D$6:$D$45,MATCH(C382,Справочники!$A$6:$A$45,0)),""))</f>
        <v/>
      </c>
    </row>
    <row r="383">
      <c r="A383" s="18">
        <f>IF(B383="","",ROW()-5)</f>
        <v/>
      </c>
      <c r="B383" s="19" t="n"/>
      <c r="C383" s="20" t="n"/>
      <c r="D383" s="21">
        <f>IF(C383="","",IFERROR(INDEX(Справочники!$B$6:$B$45,MATCH(C383,Справочники!$A$6:$A$45,0)),"нет в справочнике"))</f>
        <v/>
      </c>
      <c r="E383" s="20" t="n"/>
      <c r="F383" s="20" t="n"/>
      <c r="G383" s="20" t="n"/>
      <c r="H383" s="20" t="n"/>
      <c r="I383" s="18">
        <f>IF(C383="","",IFERROR(INDEX(Справочники!$C$6:$C$45,MATCH(C383,Справочники!$A$6:$A$45,0)),""))</f>
        <v/>
      </c>
      <c r="J383" s="22">
        <f>IF(C383="","",IFERROR(INDEX(Справочники!$E$6:$E$45,MATCH(C383,Справочники!$A$6:$A$45,0)),""))</f>
        <v/>
      </c>
      <c r="K383" s="23" t="n"/>
      <c r="L383" s="20" t="n"/>
      <c r="M383" s="19" t="n"/>
      <c r="N383" s="20" t="n"/>
      <c r="O383" s="23" t="n"/>
      <c r="P383" s="18">
        <f>IF(B383="","",IF(M383="",IF(L383="Карантин",INT(TODAY())-B383,""),M383-B383))</f>
        <v/>
      </c>
      <c r="Q383" s="18">
        <f>IF(C383="","",IFERROR(INDEX(Справочники!$D$6:$D$45,MATCH(C383,Справочники!$A$6:$A$45,0)),""))</f>
        <v/>
      </c>
    </row>
    <row r="384">
      <c r="A384" s="18">
        <f>IF(B384="","",ROW()-5)</f>
        <v/>
      </c>
      <c r="B384" s="19" t="n"/>
      <c r="C384" s="20" t="n"/>
      <c r="D384" s="21">
        <f>IF(C384="","",IFERROR(INDEX(Справочники!$B$6:$B$45,MATCH(C384,Справочники!$A$6:$A$45,0)),"нет в справочнике"))</f>
        <v/>
      </c>
      <c r="E384" s="20" t="n"/>
      <c r="F384" s="20" t="n"/>
      <c r="G384" s="20" t="n"/>
      <c r="H384" s="20" t="n"/>
      <c r="I384" s="18">
        <f>IF(C384="","",IFERROR(INDEX(Справочники!$C$6:$C$45,MATCH(C384,Справочники!$A$6:$A$45,0)),""))</f>
        <v/>
      </c>
      <c r="J384" s="22">
        <f>IF(C384="","",IFERROR(INDEX(Справочники!$E$6:$E$45,MATCH(C384,Справочники!$A$6:$A$45,0)),""))</f>
        <v/>
      </c>
      <c r="K384" s="23" t="n"/>
      <c r="L384" s="20" t="n"/>
      <c r="M384" s="19" t="n"/>
      <c r="N384" s="20" t="n"/>
      <c r="O384" s="23" t="n"/>
      <c r="P384" s="18">
        <f>IF(B384="","",IF(M384="",IF(L384="Карантин",INT(TODAY())-B384,""),M384-B384))</f>
        <v/>
      </c>
      <c r="Q384" s="18">
        <f>IF(C384="","",IFERROR(INDEX(Справочники!$D$6:$D$45,MATCH(C384,Справочники!$A$6:$A$45,0)),""))</f>
        <v/>
      </c>
    </row>
    <row r="385">
      <c r="A385" s="18">
        <f>IF(B385="","",ROW()-5)</f>
        <v/>
      </c>
      <c r="B385" s="19" t="n"/>
      <c r="C385" s="20" t="n"/>
      <c r="D385" s="21">
        <f>IF(C385="","",IFERROR(INDEX(Справочники!$B$6:$B$45,MATCH(C385,Справочники!$A$6:$A$45,0)),"нет в справочнике"))</f>
        <v/>
      </c>
      <c r="E385" s="20" t="n"/>
      <c r="F385" s="20" t="n"/>
      <c r="G385" s="20" t="n"/>
      <c r="H385" s="20" t="n"/>
      <c r="I385" s="18">
        <f>IF(C385="","",IFERROR(INDEX(Справочники!$C$6:$C$45,MATCH(C385,Справочники!$A$6:$A$45,0)),""))</f>
        <v/>
      </c>
      <c r="J385" s="22">
        <f>IF(C385="","",IFERROR(INDEX(Справочники!$E$6:$E$45,MATCH(C385,Справочники!$A$6:$A$45,0)),""))</f>
        <v/>
      </c>
      <c r="K385" s="23" t="n"/>
      <c r="L385" s="20" t="n"/>
      <c r="M385" s="19" t="n"/>
      <c r="N385" s="20" t="n"/>
      <c r="O385" s="23" t="n"/>
      <c r="P385" s="18">
        <f>IF(B385="","",IF(M385="",IF(L385="Карантин",INT(TODAY())-B385,""),M385-B385))</f>
        <v/>
      </c>
      <c r="Q385" s="18">
        <f>IF(C385="","",IFERROR(INDEX(Справочники!$D$6:$D$45,MATCH(C385,Справочники!$A$6:$A$45,0)),""))</f>
        <v/>
      </c>
    </row>
    <row r="386">
      <c r="A386" s="18">
        <f>IF(B386="","",ROW()-5)</f>
        <v/>
      </c>
      <c r="B386" s="19" t="n"/>
      <c r="C386" s="20" t="n"/>
      <c r="D386" s="21">
        <f>IF(C386="","",IFERROR(INDEX(Справочники!$B$6:$B$45,MATCH(C386,Справочники!$A$6:$A$45,0)),"нет в справочнике"))</f>
        <v/>
      </c>
      <c r="E386" s="20" t="n"/>
      <c r="F386" s="20" t="n"/>
      <c r="G386" s="20" t="n"/>
      <c r="H386" s="20" t="n"/>
      <c r="I386" s="18">
        <f>IF(C386="","",IFERROR(INDEX(Справочники!$C$6:$C$45,MATCH(C386,Справочники!$A$6:$A$45,0)),""))</f>
        <v/>
      </c>
      <c r="J386" s="22">
        <f>IF(C386="","",IFERROR(INDEX(Справочники!$E$6:$E$45,MATCH(C386,Справочники!$A$6:$A$45,0)),""))</f>
        <v/>
      </c>
      <c r="K386" s="23" t="n"/>
      <c r="L386" s="20" t="n"/>
      <c r="M386" s="19" t="n"/>
      <c r="N386" s="20" t="n"/>
      <c r="O386" s="23" t="n"/>
      <c r="P386" s="18">
        <f>IF(B386="","",IF(M386="",IF(L386="Карантин",INT(TODAY())-B386,""),M386-B386))</f>
        <v/>
      </c>
      <c r="Q386" s="18">
        <f>IF(C386="","",IFERROR(INDEX(Справочники!$D$6:$D$45,MATCH(C386,Справочники!$A$6:$A$45,0)),""))</f>
        <v/>
      </c>
    </row>
    <row r="387">
      <c r="A387" s="18">
        <f>IF(B387="","",ROW()-5)</f>
        <v/>
      </c>
      <c r="B387" s="19" t="n"/>
      <c r="C387" s="20" t="n"/>
      <c r="D387" s="21">
        <f>IF(C387="","",IFERROR(INDEX(Справочники!$B$6:$B$45,MATCH(C387,Справочники!$A$6:$A$45,0)),"нет в справочнике"))</f>
        <v/>
      </c>
      <c r="E387" s="20" t="n"/>
      <c r="F387" s="20" t="n"/>
      <c r="G387" s="20" t="n"/>
      <c r="H387" s="20" t="n"/>
      <c r="I387" s="18">
        <f>IF(C387="","",IFERROR(INDEX(Справочники!$C$6:$C$45,MATCH(C387,Справочники!$A$6:$A$45,0)),""))</f>
        <v/>
      </c>
      <c r="J387" s="22">
        <f>IF(C387="","",IFERROR(INDEX(Справочники!$E$6:$E$45,MATCH(C387,Справочники!$A$6:$A$45,0)),""))</f>
        <v/>
      </c>
      <c r="K387" s="23" t="n"/>
      <c r="L387" s="20" t="n"/>
      <c r="M387" s="19" t="n"/>
      <c r="N387" s="20" t="n"/>
      <c r="O387" s="23" t="n"/>
      <c r="P387" s="18">
        <f>IF(B387="","",IF(M387="",IF(L387="Карантин",INT(TODAY())-B387,""),M387-B387))</f>
        <v/>
      </c>
      <c r="Q387" s="18">
        <f>IF(C387="","",IFERROR(INDEX(Справочники!$D$6:$D$45,MATCH(C387,Справочники!$A$6:$A$45,0)),""))</f>
        <v/>
      </c>
    </row>
    <row r="388">
      <c r="A388" s="18">
        <f>IF(B388="","",ROW()-5)</f>
        <v/>
      </c>
      <c r="B388" s="19" t="n"/>
      <c r="C388" s="20" t="n"/>
      <c r="D388" s="21">
        <f>IF(C388="","",IFERROR(INDEX(Справочники!$B$6:$B$45,MATCH(C388,Справочники!$A$6:$A$45,0)),"нет в справочнике"))</f>
        <v/>
      </c>
      <c r="E388" s="20" t="n"/>
      <c r="F388" s="20" t="n"/>
      <c r="G388" s="20" t="n"/>
      <c r="H388" s="20" t="n"/>
      <c r="I388" s="18">
        <f>IF(C388="","",IFERROR(INDEX(Справочники!$C$6:$C$45,MATCH(C388,Справочники!$A$6:$A$45,0)),""))</f>
        <v/>
      </c>
      <c r="J388" s="22">
        <f>IF(C388="","",IFERROR(INDEX(Справочники!$E$6:$E$45,MATCH(C388,Справочники!$A$6:$A$45,0)),""))</f>
        <v/>
      </c>
      <c r="K388" s="23" t="n"/>
      <c r="L388" s="20" t="n"/>
      <c r="M388" s="19" t="n"/>
      <c r="N388" s="20" t="n"/>
      <c r="O388" s="23" t="n"/>
      <c r="P388" s="18">
        <f>IF(B388="","",IF(M388="",IF(L388="Карантин",INT(TODAY())-B388,""),M388-B388))</f>
        <v/>
      </c>
      <c r="Q388" s="18">
        <f>IF(C388="","",IFERROR(INDEX(Справочники!$D$6:$D$45,MATCH(C388,Справочники!$A$6:$A$45,0)),""))</f>
        <v/>
      </c>
    </row>
    <row r="389">
      <c r="A389" s="18">
        <f>IF(B389="","",ROW()-5)</f>
        <v/>
      </c>
      <c r="B389" s="19" t="n"/>
      <c r="C389" s="20" t="n"/>
      <c r="D389" s="21">
        <f>IF(C389="","",IFERROR(INDEX(Справочники!$B$6:$B$45,MATCH(C389,Справочники!$A$6:$A$45,0)),"нет в справочнике"))</f>
        <v/>
      </c>
      <c r="E389" s="20" t="n"/>
      <c r="F389" s="20" t="n"/>
      <c r="G389" s="20" t="n"/>
      <c r="H389" s="20" t="n"/>
      <c r="I389" s="18">
        <f>IF(C389="","",IFERROR(INDEX(Справочники!$C$6:$C$45,MATCH(C389,Справочники!$A$6:$A$45,0)),""))</f>
        <v/>
      </c>
      <c r="J389" s="22">
        <f>IF(C389="","",IFERROR(INDEX(Справочники!$E$6:$E$45,MATCH(C389,Справочники!$A$6:$A$45,0)),""))</f>
        <v/>
      </c>
      <c r="K389" s="23" t="n"/>
      <c r="L389" s="20" t="n"/>
      <c r="M389" s="19" t="n"/>
      <c r="N389" s="20" t="n"/>
      <c r="O389" s="23" t="n"/>
      <c r="P389" s="18">
        <f>IF(B389="","",IF(M389="",IF(L389="Карантин",INT(TODAY())-B389,""),M389-B389))</f>
        <v/>
      </c>
      <c r="Q389" s="18">
        <f>IF(C389="","",IFERROR(INDEX(Справочники!$D$6:$D$45,MATCH(C389,Справочники!$A$6:$A$45,0)),""))</f>
        <v/>
      </c>
    </row>
    <row r="390">
      <c r="A390" s="18">
        <f>IF(B390="","",ROW()-5)</f>
        <v/>
      </c>
      <c r="B390" s="19" t="n"/>
      <c r="C390" s="20" t="n"/>
      <c r="D390" s="21">
        <f>IF(C390="","",IFERROR(INDEX(Справочники!$B$6:$B$45,MATCH(C390,Справочники!$A$6:$A$45,0)),"нет в справочнике"))</f>
        <v/>
      </c>
      <c r="E390" s="20" t="n"/>
      <c r="F390" s="20" t="n"/>
      <c r="G390" s="20" t="n"/>
      <c r="H390" s="20" t="n"/>
      <c r="I390" s="18">
        <f>IF(C390="","",IFERROR(INDEX(Справочники!$C$6:$C$45,MATCH(C390,Справочники!$A$6:$A$45,0)),""))</f>
        <v/>
      </c>
      <c r="J390" s="22">
        <f>IF(C390="","",IFERROR(INDEX(Справочники!$E$6:$E$45,MATCH(C390,Справочники!$A$6:$A$45,0)),""))</f>
        <v/>
      </c>
      <c r="K390" s="23" t="n"/>
      <c r="L390" s="20" t="n"/>
      <c r="M390" s="19" t="n"/>
      <c r="N390" s="20" t="n"/>
      <c r="O390" s="23" t="n"/>
      <c r="P390" s="18">
        <f>IF(B390="","",IF(M390="",IF(L390="Карантин",INT(TODAY())-B390,""),M390-B390))</f>
        <v/>
      </c>
      <c r="Q390" s="18">
        <f>IF(C390="","",IFERROR(INDEX(Справочники!$D$6:$D$45,MATCH(C390,Справочники!$A$6:$A$45,0)),""))</f>
        <v/>
      </c>
    </row>
    <row r="391">
      <c r="A391" s="18">
        <f>IF(B391="","",ROW()-5)</f>
        <v/>
      </c>
      <c r="B391" s="19" t="n"/>
      <c r="C391" s="20" t="n"/>
      <c r="D391" s="21">
        <f>IF(C391="","",IFERROR(INDEX(Справочники!$B$6:$B$45,MATCH(C391,Справочники!$A$6:$A$45,0)),"нет в справочнике"))</f>
        <v/>
      </c>
      <c r="E391" s="20" t="n"/>
      <c r="F391" s="20" t="n"/>
      <c r="G391" s="20" t="n"/>
      <c r="H391" s="20" t="n"/>
      <c r="I391" s="18">
        <f>IF(C391="","",IFERROR(INDEX(Справочники!$C$6:$C$45,MATCH(C391,Справочники!$A$6:$A$45,0)),""))</f>
        <v/>
      </c>
      <c r="J391" s="22">
        <f>IF(C391="","",IFERROR(INDEX(Справочники!$E$6:$E$45,MATCH(C391,Справочники!$A$6:$A$45,0)),""))</f>
        <v/>
      </c>
      <c r="K391" s="23" t="n"/>
      <c r="L391" s="20" t="n"/>
      <c r="M391" s="19" t="n"/>
      <c r="N391" s="20" t="n"/>
      <c r="O391" s="23" t="n"/>
      <c r="P391" s="18">
        <f>IF(B391="","",IF(M391="",IF(L391="Карантин",INT(TODAY())-B391,""),M391-B391))</f>
        <v/>
      </c>
      <c r="Q391" s="18">
        <f>IF(C391="","",IFERROR(INDEX(Справочники!$D$6:$D$45,MATCH(C391,Справочники!$A$6:$A$45,0)),""))</f>
        <v/>
      </c>
    </row>
    <row r="392">
      <c r="A392" s="18">
        <f>IF(B392="","",ROW()-5)</f>
        <v/>
      </c>
      <c r="B392" s="19" t="n"/>
      <c r="C392" s="20" t="n"/>
      <c r="D392" s="21">
        <f>IF(C392="","",IFERROR(INDEX(Справочники!$B$6:$B$45,MATCH(C392,Справочники!$A$6:$A$45,0)),"нет в справочнике"))</f>
        <v/>
      </c>
      <c r="E392" s="20" t="n"/>
      <c r="F392" s="20" t="n"/>
      <c r="G392" s="20" t="n"/>
      <c r="H392" s="20" t="n"/>
      <c r="I392" s="18">
        <f>IF(C392="","",IFERROR(INDEX(Справочники!$C$6:$C$45,MATCH(C392,Справочники!$A$6:$A$45,0)),""))</f>
        <v/>
      </c>
      <c r="J392" s="22">
        <f>IF(C392="","",IFERROR(INDEX(Справочники!$E$6:$E$45,MATCH(C392,Справочники!$A$6:$A$45,0)),""))</f>
        <v/>
      </c>
      <c r="K392" s="23" t="n"/>
      <c r="L392" s="20" t="n"/>
      <c r="M392" s="19" t="n"/>
      <c r="N392" s="20" t="n"/>
      <c r="O392" s="23" t="n"/>
      <c r="P392" s="18">
        <f>IF(B392="","",IF(M392="",IF(L392="Карантин",INT(TODAY())-B392,""),M392-B392))</f>
        <v/>
      </c>
      <c r="Q392" s="18">
        <f>IF(C392="","",IFERROR(INDEX(Справочники!$D$6:$D$45,MATCH(C392,Справочники!$A$6:$A$45,0)),""))</f>
        <v/>
      </c>
    </row>
    <row r="393">
      <c r="A393" s="18">
        <f>IF(B393="","",ROW()-5)</f>
        <v/>
      </c>
      <c r="B393" s="19" t="n"/>
      <c r="C393" s="20" t="n"/>
      <c r="D393" s="21">
        <f>IF(C393="","",IFERROR(INDEX(Справочники!$B$6:$B$45,MATCH(C393,Справочники!$A$6:$A$45,0)),"нет в справочнике"))</f>
        <v/>
      </c>
      <c r="E393" s="20" t="n"/>
      <c r="F393" s="20" t="n"/>
      <c r="G393" s="20" t="n"/>
      <c r="H393" s="20" t="n"/>
      <c r="I393" s="18">
        <f>IF(C393="","",IFERROR(INDEX(Справочники!$C$6:$C$45,MATCH(C393,Справочники!$A$6:$A$45,0)),""))</f>
        <v/>
      </c>
      <c r="J393" s="22">
        <f>IF(C393="","",IFERROR(INDEX(Справочники!$E$6:$E$45,MATCH(C393,Справочники!$A$6:$A$45,0)),""))</f>
        <v/>
      </c>
      <c r="K393" s="23" t="n"/>
      <c r="L393" s="20" t="n"/>
      <c r="M393" s="19" t="n"/>
      <c r="N393" s="20" t="n"/>
      <c r="O393" s="23" t="n"/>
      <c r="P393" s="18">
        <f>IF(B393="","",IF(M393="",IF(L393="Карантин",INT(TODAY())-B393,""),M393-B393))</f>
        <v/>
      </c>
      <c r="Q393" s="18">
        <f>IF(C393="","",IFERROR(INDEX(Справочники!$D$6:$D$45,MATCH(C393,Справочники!$A$6:$A$45,0)),""))</f>
        <v/>
      </c>
    </row>
    <row r="394">
      <c r="A394" s="18">
        <f>IF(B394="","",ROW()-5)</f>
        <v/>
      </c>
      <c r="B394" s="19" t="n"/>
      <c r="C394" s="20" t="n"/>
      <c r="D394" s="21">
        <f>IF(C394="","",IFERROR(INDEX(Справочники!$B$6:$B$45,MATCH(C394,Справочники!$A$6:$A$45,0)),"нет в справочнике"))</f>
        <v/>
      </c>
      <c r="E394" s="20" t="n"/>
      <c r="F394" s="20" t="n"/>
      <c r="G394" s="20" t="n"/>
      <c r="H394" s="20" t="n"/>
      <c r="I394" s="18">
        <f>IF(C394="","",IFERROR(INDEX(Справочники!$C$6:$C$45,MATCH(C394,Справочники!$A$6:$A$45,0)),""))</f>
        <v/>
      </c>
      <c r="J394" s="22">
        <f>IF(C394="","",IFERROR(INDEX(Справочники!$E$6:$E$45,MATCH(C394,Справочники!$A$6:$A$45,0)),""))</f>
        <v/>
      </c>
      <c r="K394" s="23" t="n"/>
      <c r="L394" s="20" t="n"/>
      <c r="M394" s="19" t="n"/>
      <c r="N394" s="20" t="n"/>
      <c r="O394" s="23" t="n"/>
      <c r="P394" s="18">
        <f>IF(B394="","",IF(M394="",IF(L394="Карантин",INT(TODAY())-B394,""),M394-B394))</f>
        <v/>
      </c>
      <c r="Q394" s="18">
        <f>IF(C394="","",IFERROR(INDEX(Справочники!$D$6:$D$45,MATCH(C394,Справочники!$A$6:$A$45,0)),""))</f>
        <v/>
      </c>
    </row>
    <row r="395">
      <c r="A395" s="18">
        <f>IF(B395="","",ROW()-5)</f>
        <v/>
      </c>
      <c r="B395" s="19" t="n"/>
      <c r="C395" s="20" t="n"/>
      <c r="D395" s="21">
        <f>IF(C395="","",IFERROR(INDEX(Справочники!$B$6:$B$45,MATCH(C395,Справочники!$A$6:$A$45,0)),"нет в справочнике"))</f>
        <v/>
      </c>
      <c r="E395" s="20" t="n"/>
      <c r="F395" s="20" t="n"/>
      <c r="G395" s="20" t="n"/>
      <c r="H395" s="20" t="n"/>
      <c r="I395" s="18">
        <f>IF(C395="","",IFERROR(INDEX(Справочники!$C$6:$C$45,MATCH(C395,Справочники!$A$6:$A$45,0)),""))</f>
        <v/>
      </c>
      <c r="J395" s="22">
        <f>IF(C395="","",IFERROR(INDEX(Справочники!$E$6:$E$45,MATCH(C395,Справочники!$A$6:$A$45,0)),""))</f>
        <v/>
      </c>
      <c r="K395" s="23" t="n"/>
      <c r="L395" s="20" t="n"/>
      <c r="M395" s="19" t="n"/>
      <c r="N395" s="20" t="n"/>
      <c r="O395" s="23" t="n"/>
      <c r="P395" s="18">
        <f>IF(B395="","",IF(M395="",IF(L395="Карантин",INT(TODAY())-B395,""),M395-B395))</f>
        <v/>
      </c>
      <c r="Q395" s="18">
        <f>IF(C395="","",IFERROR(INDEX(Справочники!$D$6:$D$45,MATCH(C395,Справочники!$A$6:$A$45,0)),""))</f>
        <v/>
      </c>
    </row>
    <row r="396">
      <c r="A396" s="18">
        <f>IF(B396="","",ROW()-5)</f>
        <v/>
      </c>
      <c r="B396" s="19" t="n"/>
      <c r="C396" s="20" t="n"/>
      <c r="D396" s="21">
        <f>IF(C396="","",IFERROR(INDEX(Справочники!$B$6:$B$45,MATCH(C396,Справочники!$A$6:$A$45,0)),"нет в справочнике"))</f>
        <v/>
      </c>
      <c r="E396" s="20" t="n"/>
      <c r="F396" s="20" t="n"/>
      <c r="G396" s="20" t="n"/>
      <c r="H396" s="20" t="n"/>
      <c r="I396" s="18">
        <f>IF(C396="","",IFERROR(INDEX(Справочники!$C$6:$C$45,MATCH(C396,Справочники!$A$6:$A$45,0)),""))</f>
        <v/>
      </c>
      <c r="J396" s="22">
        <f>IF(C396="","",IFERROR(INDEX(Справочники!$E$6:$E$45,MATCH(C396,Справочники!$A$6:$A$45,0)),""))</f>
        <v/>
      </c>
      <c r="K396" s="23" t="n"/>
      <c r="L396" s="20" t="n"/>
      <c r="M396" s="19" t="n"/>
      <c r="N396" s="20" t="n"/>
      <c r="O396" s="23" t="n"/>
      <c r="P396" s="18">
        <f>IF(B396="","",IF(M396="",IF(L396="Карантин",INT(TODAY())-B396,""),M396-B396))</f>
        <v/>
      </c>
      <c r="Q396" s="18">
        <f>IF(C396="","",IFERROR(INDEX(Справочники!$D$6:$D$45,MATCH(C396,Справочники!$A$6:$A$45,0)),""))</f>
        <v/>
      </c>
    </row>
    <row r="397">
      <c r="A397" s="18">
        <f>IF(B397="","",ROW()-5)</f>
        <v/>
      </c>
      <c r="B397" s="19" t="n"/>
      <c r="C397" s="20" t="n"/>
      <c r="D397" s="21">
        <f>IF(C397="","",IFERROR(INDEX(Справочники!$B$6:$B$45,MATCH(C397,Справочники!$A$6:$A$45,0)),"нет в справочнике"))</f>
        <v/>
      </c>
      <c r="E397" s="20" t="n"/>
      <c r="F397" s="20" t="n"/>
      <c r="G397" s="20" t="n"/>
      <c r="H397" s="20" t="n"/>
      <c r="I397" s="18">
        <f>IF(C397="","",IFERROR(INDEX(Справочники!$C$6:$C$45,MATCH(C397,Справочники!$A$6:$A$45,0)),""))</f>
        <v/>
      </c>
      <c r="J397" s="22">
        <f>IF(C397="","",IFERROR(INDEX(Справочники!$E$6:$E$45,MATCH(C397,Справочники!$A$6:$A$45,0)),""))</f>
        <v/>
      </c>
      <c r="K397" s="23" t="n"/>
      <c r="L397" s="20" t="n"/>
      <c r="M397" s="19" t="n"/>
      <c r="N397" s="20" t="n"/>
      <c r="O397" s="23" t="n"/>
      <c r="P397" s="18">
        <f>IF(B397="","",IF(M397="",IF(L397="Карантин",INT(TODAY())-B397,""),M397-B397))</f>
        <v/>
      </c>
      <c r="Q397" s="18">
        <f>IF(C397="","",IFERROR(INDEX(Справочники!$D$6:$D$45,MATCH(C397,Справочники!$A$6:$A$45,0)),""))</f>
        <v/>
      </c>
    </row>
    <row r="398">
      <c r="A398" s="18">
        <f>IF(B398="","",ROW()-5)</f>
        <v/>
      </c>
      <c r="B398" s="19" t="n"/>
      <c r="C398" s="20" t="n"/>
      <c r="D398" s="21">
        <f>IF(C398="","",IFERROR(INDEX(Справочники!$B$6:$B$45,MATCH(C398,Справочники!$A$6:$A$45,0)),"нет в справочнике"))</f>
        <v/>
      </c>
      <c r="E398" s="20" t="n"/>
      <c r="F398" s="20" t="n"/>
      <c r="G398" s="20" t="n"/>
      <c r="H398" s="20" t="n"/>
      <c r="I398" s="18">
        <f>IF(C398="","",IFERROR(INDEX(Справочники!$C$6:$C$45,MATCH(C398,Справочники!$A$6:$A$45,0)),""))</f>
        <v/>
      </c>
      <c r="J398" s="22">
        <f>IF(C398="","",IFERROR(INDEX(Справочники!$E$6:$E$45,MATCH(C398,Справочники!$A$6:$A$45,0)),""))</f>
        <v/>
      </c>
      <c r="K398" s="23" t="n"/>
      <c r="L398" s="20" t="n"/>
      <c r="M398" s="19" t="n"/>
      <c r="N398" s="20" t="n"/>
      <c r="O398" s="23" t="n"/>
      <c r="P398" s="18">
        <f>IF(B398="","",IF(M398="",IF(L398="Карантин",INT(TODAY())-B398,""),M398-B398))</f>
        <v/>
      </c>
      <c r="Q398" s="18">
        <f>IF(C398="","",IFERROR(INDEX(Справочники!$D$6:$D$45,MATCH(C398,Справочники!$A$6:$A$45,0)),""))</f>
        <v/>
      </c>
    </row>
    <row r="399">
      <c r="A399" s="18">
        <f>IF(B399="","",ROW()-5)</f>
        <v/>
      </c>
      <c r="B399" s="19" t="n"/>
      <c r="C399" s="20" t="n"/>
      <c r="D399" s="21">
        <f>IF(C399="","",IFERROR(INDEX(Справочники!$B$6:$B$45,MATCH(C399,Справочники!$A$6:$A$45,0)),"нет в справочнике"))</f>
        <v/>
      </c>
      <c r="E399" s="20" t="n"/>
      <c r="F399" s="20" t="n"/>
      <c r="G399" s="20" t="n"/>
      <c r="H399" s="20" t="n"/>
      <c r="I399" s="18">
        <f>IF(C399="","",IFERROR(INDEX(Справочники!$C$6:$C$45,MATCH(C399,Справочники!$A$6:$A$45,0)),""))</f>
        <v/>
      </c>
      <c r="J399" s="22">
        <f>IF(C399="","",IFERROR(INDEX(Справочники!$E$6:$E$45,MATCH(C399,Справочники!$A$6:$A$45,0)),""))</f>
        <v/>
      </c>
      <c r="K399" s="23" t="n"/>
      <c r="L399" s="20" t="n"/>
      <c r="M399" s="19" t="n"/>
      <c r="N399" s="20" t="n"/>
      <c r="O399" s="23" t="n"/>
      <c r="P399" s="18">
        <f>IF(B399="","",IF(M399="",IF(L399="Карантин",INT(TODAY())-B399,""),M399-B399))</f>
        <v/>
      </c>
      <c r="Q399" s="18">
        <f>IF(C399="","",IFERROR(INDEX(Справочники!$D$6:$D$45,MATCH(C399,Справочники!$A$6:$A$45,0)),""))</f>
        <v/>
      </c>
    </row>
    <row r="400">
      <c r="A400" s="18">
        <f>IF(B400="","",ROW()-5)</f>
        <v/>
      </c>
      <c r="B400" s="19" t="n"/>
      <c r="C400" s="20" t="n"/>
      <c r="D400" s="21">
        <f>IF(C400="","",IFERROR(INDEX(Справочники!$B$6:$B$45,MATCH(C400,Справочники!$A$6:$A$45,0)),"нет в справочнике"))</f>
        <v/>
      </c>
      <c r="E400" s="20" t="n"/>
      <c r="F400" s="20" t="n"/>
      <c r="G400" s="20" t="n"/>
      <c r="H400" s="20" t="n"/>
      <c r="I400" s="18">
        <f>IF(C400="","",IFERROR(INDEX(Справочники!$C$6:$C$45,MATCH(C400,Справочники!$A$6:$A$45,0)),""))</f>
        <v/>
      </c>
      <c r="J400" s="22">
        <f>IF(C400="","",IFERROR(INDEX(Справочники!$E$6:$E$45,MATCH(C400,Справочники!$A$6:$A$45,0)),""))</f>
        <v/>
      </c>
      <c r="K400" s="23" t="n"/>
      <c r="L400" s="20" t="n"/>
      <c r="M400" s="19" t="n"/>
      <c r="N400" s="20" t="n"/>
      <c r="O400" s="23" t="n"/>
      <c r="P400" s="18">
        <f>IF(B400="","",IF(M400="",IF(L400="Карантин",INT(TODAY())-B400,""),M400-B400))</f>
        <v/>
      </c>
      <c r="Q400" s="18">
        <f>IF(C400="","",IFERROR(INDEX(Справочники!$D$6:$D$45,MATCH(C400,Справочники!$A$6:$A$45,0)),""))</f>
        <v/>
      </c>
    </row>
    <row r="401">
      <c r="A401" s="18">
        <f>IF(B401="","",ROW()-5)</f>
        <v/>
      </c>
      <c r="B401" s="19" t="n"/>
      <c r="C401" s="20" t="n"/>
      <c r="D401" s="21">
        <f>IF(C401="","",IFERROR(INDEX(Справочники!$B$6:$B$45,MATCH(C401,Справочники!$A$6:$A$45,0)),"нет в справочнике"))</f>
        <v/>
      </c>
      <c r="E401" s="20" t="n"/>
      <c r="F401" s="20" t="n"/>
      <c r="G401" s="20" t="n"/>
      <c r="H401" s="20" t="n"/>
      <c r="I401" s="18">
        <f>IF(C401="","",IFERROR(INDEX(Справочники!$C$6:$C$45,MATCH(C401,Справочники!$A$6:$A$45,0)),""))</f>
        <v/>
      </c>
      <c r="J401" s="22">
        <f>IF(C401="","",IFERROR(INDEX(Справочники!$E$6:$E$45,MATCH(C401,Справочники!$A$6:$A$45,0)),""))</f>
        <v/>
      </c>
      <c r="K401" s="23" t="n"/>
      <c r="L401" s="20" t="n"/>
      <c r="M401" s="19" t="n"/>
      <c r="N401" s="20" t="n"/>
      <c r="O401" s="23" t="n"/>
      <c r="P401" s="18">
        <f>IF(B401="","",IF(M401="",IF(L401="Карантин",INT(TODAY())-B401,""),M401-B401))</f>
        <v/>
      </c>
      <c r="Q401" s="18">
        <f>IF(C401="","",IFERROR(INDEX(Справочники!$D$6:$D$45,MATCH(C401,Справочники!$A$6:$A$45,0)),""))</f>
        <v/>
      </c>
    </row>
    <row r="402">
      <c r="A402" s="18">
        <f>IF(B402="","",ROW()-5)</f>
        <v/>
      </c>
      <c r="B402" s="19" t="n"/>
      <c r="C402" s="20" t="n"/>
      <c r="D402" s="21">
        <f>IF(C402="","",IFERROR(INDEX(Справочники!$B$6:$B$45,MATCH(C402,Справочники!$A$6:$A$45,0)),"нет в справочнике"))</f>
        <v/>
      </c>
      <c r="E402" s="20" t="n"/>
      <c r="F402" s="20" t="n"/>
      <c r="G402" s="20" t="n"/>
      <c r="H402" s="20" t="n"/>
      <c r="I402" s="18">
        <f>IF(C402="","",IFERROR(INDEX(Справочники!$C$6:$C$45,MATCH(C402,Справочники!$A$6:$A$45,0)),""))</f>
        <v/>
      </c>
      <c r="J402" s="22">
        <f>IF(C402="","",IFERROR(INDEX(Справочники!$E$6:$E$45,MATCH(C402,Справочники!$A$6:$A$45,0)),""))</f>
        <v/>
      </c>
      <c r="K402" s="23" t="n"/>
      <c r="L402" s="20" t="n"/>
      <c r="M402" s="19" t="n"/>
      <c r="N402" s="20" t="n"/>
      <c r="O402" s="23" t="n"/>
      <c r="P402" s="18">
        <f>IF(B402="","",IF(M402="",IF(L402="Карантин",INT(TODAY())-B402,""),M402-B402))</f>
        <v/>
      </c>
      <c r="Q402" s="18">
        <f>IF(C402="","",IFERROR(INDEX(Справочники!$D$6:$D$45,MATCH(C402,Справочники!$A$6:$A$45,0)),""))</f>
        <v/>
      </c>
    </row>
    <row r="403">
      <c r="A403" s="18">
        <f>IF(B403="","",ROW()-5)</f>
        <v/>
      </c>
      <c r="B403" s="19" t="n"/>
      <c r="C403" s="20" t="n"/>
      <c r="D403" s="21">
        <f>IF(C403="","",IFERROR(INDEX(Справочники!$B$6:$B$45,MATCH(C403,Справочники!$A$6:$A$45,0)),"нет в справочнике"))</f>
        <v/>
      </c>
      <c r="E403" s="20" t="n"/>
      <c r="F403" s="20" t="n"/>
      <c r="G403" s="20" t="n"/>
      <c r="H403" s="20" t="n"/>
      <c r="I403" s="18">
        <f>IF(C403="","",IFERROR(INDEX(Справочники!$C$6:$C$45,MATCH(C403,Справочники!$A$6:$A$45,0)),""))</f>
        <v/>
      </c>
      <c r="J403" s="22">
        <f>IF(C403="","",IFERROR(INDEX(Справочники!$E$6:$E$45,MATCH(C403,Справочники!$A$6:$A$45,0)),""))</f>
        <v/>
      </c>
      <c r="K403" s="23" t="n"/>
      <c r="L403" s="20" t="n"/>
      <c r="M403" s="19" t="n"/>
      <c r="N403" s="20" t="n"/>
      <c r="O403" s="23" t="n"/>
      <c r="P403" s="18">
        <f>IF(B403="","",IF(M403="",IF(L403="Карантин",INT(TODAY())-B403,""),M403-B403))</f>
        <v/>
      </c>
      <c r="Q403" s="18">
        <f>IF(C403="","",IFERROR(INDEX(Справочники!$D$6:$D$45,MATCH(C403,Справочники!$A$6:$A$45,0)),""))</f>
        <v/>
      </c>
    </row>
    <row r="404">
      <c r="A404" s="18">
        <f>IF(B404="","",ROW()-5)</f>
        <v/>
      </c>
      <c r="B404" s="19" t="n"/>
      <c r="C404" s="20" t="n"/>
      <c r="D404" s="21">
        <f>IF(C404="","",IFERROR(INDEX(Справочники!$B$6:$B$45,MATCH(C404,Справочники!$A$6:$A$45,0)),"нет в справочнике"))</f>
        <v/>
      </c>
      <c r="E404" s="20" t="n"/>
      <c r="F404" s="20" t="n"/>
      <c r="G404" s="20" t="n"/>
      <c r="H404" s="20" t="n"/>
      <c r="I404" s="18">
        <f>IF(C404="","",IFERROR(INDEX(Справочники!$C$6:$C$45,MATCH(C404,Справочники!$A$6:$A$45,0)),""))</f>
        <v/>
      </c>
      <c r="J404" s="22">
        <f>IF(C404="","",IFERROR(INDEX(Справочники!$E$6:$E$45,MATCH(C404,Справочники!$A$6:$A$45,0)),""))</f>
        <v/>
      </c>
      <c r="K404" s="23" t="n"/>
      <c r="L404" s="20" t="n"/>
      <c r="M404" s="19" t="n"/>
      <c r="N404" s="20" t="n"/>
      <c r="O404" s="23" t="n"/>
      <c r="P404" s="18">
        <f>IF(B404="","",IF(M404="",IF(L404="Карантин",INT(TODAY())-B404,""),M404-B404))</f>
        <v/>
      </c>
      <c r="Q404" s="18">
        <f>IF(C404="","",IFERROR(INDEX(Справочники!$D$6:$D$45,MATCH(C404,Справочники!$A$6:$A$45,0)),""))</f>
        <v/>
      </c>
    </row>
    <row r="405">
      <c r="A405" s="18">
        <f>IF(B405="","",ROW()-5)</f>
        <v/>
      </c>
      <c r="B405" s="19" t="n"/>
      <c r="C405" s="20" t="n"/>
      <c r="D405" s="21">
        <f>IF(C405="","",IFERROR(INDEX(Справочники!$B$6:$B$45,MATCH(C405,Справочники!$A$6:$A$45,0)),"нет в справочнике"))</f>
        <v/>
      </c>
      <c r="E405" s="20" t="n"/>
      <c r="F405" s="20" t="n"/>
      <c r="G405" s="20" t="n"/>
      <c r="H405" s="20" t="n"/>
      <c r="I405" s="18">
        <f>IF(C405="","",IFERROR(INDEX(Справочники!$C$6:$C$45,MATCH(C405,Справочники!$A$6:$A$45,0)),""))</f>
        <v/>
      </c>
      <c r="J405" s="22">
        <f>IF(C405="","",IFERROR(INDEX(Справочники!$E$6:$E$45,MATCH(C405,Справочники!$A$6:$A$45,0)),""))</f>
        <v/>
      </c>
      <c r="K405" s="23" t="n"/>
      <c r="L405" s="20" t="n"/>
      <c r="M405" s="19" t="n"/>
      <c r="N405" s="20" t="n"/>
      <c r="O405" s="23" t="n"/>
      <c r="P405" s="18">
        <f>IF(B405="","",IF(M405="",IF(L405="Карантин",INT(TODAY())-B405,""),M405-B405))</f>
        <v/>
      </c>
      <c r="Q405" s="18">
        <f>IF(C405="","",IFERROR(INDEX(Справочники!$D$6:$D$45,MATCH(C405,Справочники!$A$6:$A$45,0)),""))</f>
        <v/>
      </c>
    </row>
    <row r="406">
      <c r="A406" s="18">
        <f>IF(B406="","",ROW()-5)</f>
        <v/>
      </c>
      <c r="B406" s="19" t="n"/>
      <c r="C406" s="20" t="n"/>
      <c r="D406" s="21">
        <f>IF(C406="","",IFERROR(INDEX(Справочники!$B$6:$B$45,MATCH(C406,Справочники!$A$6:$A$45,0)),"нет в справочнике"))</f>
        <v/>
      </c>
      <c r="E406" s="20" t="n"/>
      <c r="F406" s="20" t="n"/>
      <c r="G406" s="20" t="n"/>
      <c r="H406" s="20" t="n"/>
      <c r="I406" s="18">
        <f>IF(C406="","",IFERROR(INDEX(Справочники!$C$6:$C$45,MATCH(C406,Справочники!$A$6:$A$45,0)),""))</f>
        <v/>
      </c>
      <c r="J406" s="22">
        <f>IF(C406="","",IFERROR(INDEX(Справочники!$E$6:$E$45,MATCH(C406,Справочники!$A$6:$A$45,0)),""))</f>
        <v/>
      </c>
      <c r="K406" s="23" t="n"/>
      <c r="L406" s="20" t="n"/>
      <c r="M406" s="19" t="n"/>
      <c r="N406" s="20" t="n"/>
      <c r="O406" s="23" t="n"/>
      <c r="P406" s="18">
        <f>IF(B406="","",IF(M406="",IF(L406="Карантин",INT(TODAY())-B406,""),M406-B406))</f>
        <v/>
      </c>
      <c r="Q406" s="18">
        <f>IF(C406="","",IFERROR(INDEX(Справочники!$D$6:$D$45,MATCH(C406,Справочники!$A$6:$A$45,0)),""))</f>
        <v/>
      </c>
    </row>
    <row r="407">
      <c r="A407" s="18">
        <f>IF(B407="","",ROW()-5)</f>
        <v/>
      </c>
      <c r="B407" s="19" t="n"/>
      <c r="C407" s="20" t="n"/>
      <c r="D407" s="21">
        <f>IF(C407="","",IFERROR(INDEX(Справочники!$B$6:$B$45,MATCH(C407,Справочники!$A$6:$A$45,0)),"нет в справочнике"))</f>
        <v/>
      </c>
      <c r="E407" s="20" t="n"/>
      <c r="F407" s="20" t="n"/>
      <c r="G407" s="20" t="n"/>
      <c r="H407" s="20" t="n"/>
      <c r="I407" s="18">
        <f>IF(C407="","",IFERROR(INDEX(Справочники!$C$6:$C$45,MATCH(C407,Справочники!$A$6:$A$45,0)),""))</f>
        <v/>
      </c>
      <c r="J407" s="22">
        <f>IF(C407="","",IFERROR(INDEX(Справочники!$E$6:$E$45,MATCH(C407,Справочники!$A$6:$A$45,0)),""))</f>
        <v/>
      </c>
      <c r="K407" s="23" t="n"/>
      <c r="L407" s="20" t="n"/>
      <c r="M407" s="19" t="n"/>
      <c r="N407" s="20" t="n"/>
      <c r="O407" s="23" t="n"/>
      <c r="P407" s="18">
        <f>IF(B407="","",IF(M407="",IF(L407="Карантин",INT(TODAY())-B407,""),M407-B407))</f>
        <v/>
      </c>
      <c r="Q407" s="18">
        <f>IF(C407="","",IFERROR(INDEX(Справочники!$D$6:$D$45,MATCH(C407,Справочники!$A$6:$A$45,0)),""))</f>
        <v/>
      </c>
    </row>
    <row r="408">
      <c r="A408" s="18">
        <f>IF(B408="","",ROW()-5)</f>
        <v/>
      </c>
      <c r="B408" s="19" t="n"/>
      <c r="C408" s="20" t="n"/>
      <c r="D408" s="21">
        <f>IF(C408="","",IFERROR(INDEX(Справочники!$B$6:$B$45,MATCH(C408,Справочники!$A$6:$A$45,0)),"нет в справочнике"))</f>
        <v/>
      </c>
      <c r="E408" s="20" t="n"/>
      <c r="F408" s="20" t="n"/>
      <c r="G408" s="20" t="n"/>
      <c r="H408" s="20" t="n"/>
      <c r="I408" s="18">
        <f>IF(C408="","",IFERROR(INDEX(Справочники!$C$6:$C$45,MATCH(C408,Справочники!$A$6:$A$45,0)),""))</f>
        <v/>
      </c>
      <c r="J408" s="22">
        <f>IF(C408="","",IFERROR(INDEX(Справочники!$E$6:$E$45,MATCH(C408,Справочники!$A$6:$A$45,0)),""))</f>
        <v/>
      </c>
      <c r="K408" s="23" t="n"/>
      <c r="L408" s="20" t="n"/>
      <c r="M408" s="19" t="n"/>
      <c r="N408" s="20" t="n"/>
      <c r="O408" s="23" t="n"/>
      <c r="P408" s="18">
        <f>IF(B408="","",IF(M408="",IF(L408="Карантин",INT(TODAY())-B408,""),M408-B408))</f>
        <v/>
      </c>
      <c r="Q408" s="18">
        <f>IF(C408="","",IFERROR(INDEX(Справочники!$D$6:$D$45,MATCH(C408,Справочники!$A$6:$A$45,0)),""))</f>
        <v/>
      </c>
    </row>
    <row r="409">
      <c r="A409" s="18">
        <f>IF(B409="","",ROW()-5)</f>
        <v/>
      </c>
      <c r="B409" s="19" t="n"/>
      <c r="C409" s="20" t="n"/>
      <c r="D409" s="21">
        <f>IF(C409="","",IFERROR(INDEX(Справочники!$B$6:$B$45,MATCH(C409,Справочники!$A$6:$A$45,0)),"нет в справочнике"))</f>
        <v/>
      </c>
      <c r="E409" s="20" t="n"/>
      <c r="F409" s="20" t="n"/>
      <c r="G409" s="20" t="n"/>
      <c r="H409" s="20" t="n"/>
      <c r="I409" s="18">
        <f>IF(C409="","",IFERROR(INDEX(Справочники!$C$6:$C$45,MATCH(C409,Справочники!$A$6:$A$45,0)),""))</f>
        <v/>
      </c>
      <c r="J409" s="22">
        <f>IF(C409="","",IFERROR(INDEX(Справочники!$E$6:$E$45,MATCH(C409,Справочники!$A$6:$A$45,0)),""))</f>
        <v/>
      </c>
      <c r="K409" s="23" t="n"/>
      <c r="L409" s="20" t="n"/>
      <c r="M409" s="19" t="n"/>
      <c r="N409" s="20" t="n"/>
      <c r="O409" s="23" t="n"/>
      <c r="P409" s="18">
        <f>IF(B409="","",IF(M409="",IF(L409="Карантин",INT(TODAY())-B409,""),M409-B409))</f>
        <v/>
      </c>
      <c r="Q409" s="18">
        <f>IF(C409="","",IFERROR(INDEX(Справочники!$D$6:$D$45,MATCH(C409,Справочники!$A$6:$A$45,0)),""))</f>
        <v/>
      </c>
    </row>
    <row r="410">
      <c r="A410" s="18">
        <f>IF(B410="","",ROW()-5)</f>
        <v/>
      </c>
      <c r="B410" s="19" t="n"/>
      <c r="C410" s="20" t="n"/>
      <c r="D410" s="21">
        <f>IF(C410="","",IFERROR(INDEX(Справочники!$B$6:$B$45,MATCH(C410,Справочники!$A$6:$A$45,0)),"нет в справочнике"))</f>
        <v/>
      </c>
      <c r="E410" s="20" t="n"/>
      <c r="F410" s="20" t="n"/>
      <c r="G410" s="20" t="n"/>
      <c r="H410" s="20" t="n"/>
      <c r="I410" s="18">
        <f>IF(C410="","",IFERROR(INDEX(Справочники!$C$6:$C$45,MATCH(C410,Справочники!$A$6:$A$45,0)),""))</f>
        <v/>
      </c>
      <c r="J410" s="22">
        <f>IF(C410="","",IFERROR(INDEX(Справочники!$E$6:$E$45,MATCH(C410,Справочники!$A$6:$A$45,0)),""))</f>
        <v/>
      </c>
      <c r="K410" s="23" t="n"/>
      <c r="L410" s="20" t="n"/>
      <c r="M410" s="19" t="n"/>
      <c r="N410" s="20" t="n"/>
      <c r="O410" s="23" t="n"/>
      <c r="P410" s="18">
        <f>IF(B410="","",IF(M410="",IF(L410="Карантин",INT(TODAY())-B410,""),M410-B410))</f>
        <v/>
      </c>
      <c r="Q410" s="18">
        <f>IF(C410="","",IFERROR(INDEX(Справочники!$D$6:$D$45,MATCH(C410,Справочники!$A$6:$A$45,0)),""))</f>
        <v/>
      </c>
    </row>
    <row r="411">
      <c r="A411" s="18">
        <f>IF(B411="","",ROW()-5)</f>
        <v/>
      </c>
      <c r="B411" s="19" t="n"/>
      <c r="C411" s="20" t="n"/>
      <c r="D411" s="21">
        <f>IF(C411="","",IFERROR(INDEX(Справочники!$B$6:$B$45,MATCH(C411,Справочники!$A$6:$A$45,0)),"нет в справочнике"))</f>
        <v/>
      </c>
      <c r="E411" s="20" t="n"/>
      <c r="F411" s="20" t="n"/>
      <c r="G411" s="20" t="n"/>
      <c r="H411" s="20" t="n"/>
      <c r="I411" s="18">
        <f>IF(C411="","",IFERROR(INDEX(Справочники!$C$6:$C$45,MATCH(C411,Справочники!$A$6:$A$45,0)),""))</f>
        <v/>
      </c>
      <c r="J411" s="22">
        <f>IF(C411="","",IFERROR(INDEX(Справочники!$E$6:$E$45,MATCH(C411,Справочники!$A$6:$A$45,0)),""))</f>
        <v/>
      </c>
      <c r="K411" s="23" t="n"/>
      <c r="L411" s="20" t="n"/>
      <c r="M411" s="19" t="n"/>
      <c r="N411" s="20" t="n"/>
      <c r="O411" s="23" t="n"/>
      <c r="P411" s="18">
        <f>IF(B411="","",IF(M411="",IF(L411="Карантин",INT(TODAY())-B411,""),M411-B411))</f>
        <v/>
      </c>
      <c r="Q411" s="18">
        <f>IF(C411="","",IFERROR(INDEX(Справочники!$D$6:$D$45,MATCH(C411,Справочники!$A$6:$A$45,0)),""))</f>
        <v/>
      </c>
    </row>
    <row r="412">
      <c r="A412" s="18">
        <f>IF(B412="","",ROW()-5)</f>
        <v/>
      </c>
      <c r="B412" s="19" t="n"/>
      <c r="C412" s="20" t="n"/>
      <c r="D412" s="21">
        <f>IF(C412="","",IFERROR(INDEX(Справочники!$B$6:$B$45,MATCH(C412,Справочники!$A$6:$A$45,0)),"нет в справочнике"))</f>
        <v/>
      </c>
      <c r="E412" s="20" t="n"/>
      <c r="F412" s="20" t="n"/>
      <c r="G412" s="20" t="n"/>
      <c r="H412" s="20" t="n"/>
      <c r="I412" s="18">
        <f>IF(C412="","",IFERROR(INDEX(Справочники!$C$6:$C$45,MATCH(C412,Справочники!$A$6:$A$45,0)),""))</f>
        <v/>
      </c>
      <c r="J412" s="22">
        <f>IF(C412="","",IFERROR(INDEX(Справочники!$E$6:$E$45,MATCH(C412,Справочники!$A$6:$A$45,0)),""))</f>
        <v/>
      </c>
      <c r="K412" s="23" t="n"/>
      <c r="L412" s="20" t="n"/>
      <c r="M412" s="19" t="n"/>
      <c r="N412" s="20" t="n"/>
      <c r="O412" s="23" t="n"/>
      <c r="P412" s="18">
        <f>IF(B412="","",IF(M412="",IF(L412="Карантин",INT(TODAY())-B412,""),M412-B412))</f>
        <v/>
      </c>
      <c r="Q412" s="18">
        <f>IF(C412="","",IFERROR(INDEX(Справочники!$D$6:$D$45,MATCH(C412,Справочники!$A$6:$A$45,0)),""))</f>
        <v/>
      </c>
    </row>
    <row r="413">
      <c r="A413" s="18">
        <f>IF(B413="","",ROW()-5)</f>
        <v/>
      </c>
      <c r="B413" s="19" t="n"/>
      <c r="C413" s="20" t="n"/>
      <c r="D413" s="21">
        <f>IF(C413="","",IFERROR(INDEX(Справочники!$B$6:$B$45,MATCH(C413,Справочники!$A$6:$A$45,0)),"нет в справочнике"))</f>
        <v/>
      </c>
      <c r="E413" s="20" t="n"/>
      <c r="F413" s="20" t="n"/>
      <c r="G413" s="20" t="n"/>
      <c r="H413" s="20" t="n"/>
      <c r="I413" s="18">
        <f>IF(C413="","",IFERROR(INDEX(Справочники!$C$6:$C$45,MATCH(C413,Справочники!$A$6:$A$45,0)),""))</f>
        <v/>
      </c>
      <c r="J413" s="22">
        <f>IF(C413="","",IFERROR(INDEX(Справочники!$E$6:$E$45,MATCH(C413,Справочники!$A$6:$A$45,0)),""))</f>
        <v/>
      </c>
      <c r="K413" s="23" t="n"/>
      <c r="L413" s="20" t="n"/>
      <c r="M413" s="19" t="n"/>
      <c r="N413" s="20" t="n"/>
      <c r="O413" s="23" t="n"/>
      <c r="P413" s="18">
        <f>IF(B413="","",IF(M413="",IF(L413="Карантин",INT(TODAY())-B413,""),M413-B413))</f>
        <v/>
      </c>
      <c r="Q413" s="18">
        <f>IF(C413="","",IFERROR(INDEX(Справочники!$D$6:$D$45,MATCH(C413,Справочники!$A$6:$A$45,0)),""))</f>
        <v/>
      </c>
    </row>
    <row r="414">
      <c r="A414" s="18">
        <f>IF(B414="","",ROW()-5)</f>
        <v/>
      </c>
      <c r="B414" s="19" t="n"/>
      <c r="C414" s="20" t="n"/>
      <c r="D414" s="21">
        <f>IF(C414="","",IFERROR(INDEX(Справочники!$B$6:$B$45,MATCH(C414,Справочники!$A$6:$A$45,0)),"нет в справочнике"))</f>
        <v/>
      </c>
      <c r="E414" s="20" t="n"/>
      <c r="F414" s="20" t="n"/>
      <c r="G414" s="20" t="n"/>
      <c r="H414" s="20" t="n"/>
      <c r="I414" s="18">
        <f>IF(C414="","",IFERROR(INDEX(Справочники!$C$6:$C$45,MATCH(C414,Справочники!$A$6:$A$45,0)),""))</f>
        <v/>
      </c>
      <c r="J414" s="22">
        <f>IF(C414="","",IFERROR(INDEX(Справочники!$E$6:$E$45,MATCH(C414,Справочники!$A$6:$A$45,0)),""))</f>
        <v/>
      </c>
      <c r="K414" s="23" t="n"/>
      <c r="L414" s="20" t="n"/>
      <c r="M414" s="19" t="n"/>
      <c r="N414" s="20" t="n"/>
      <c r="O414" s="23" t="n"/>
      <c r="P414" s="18">
        <f>IF(B414="","",IF(M414="",IF(L414="Карантин",INT(TODAY())-B414,""),M414-B414))</f>
        <v/>
      </c>
      <c r="Q414" s="18">
        <f>IF(C414="","",IFERROR(INDEX(Справочники!$D$6:$D$45,MATCH(C414,Справочники!$A$6:$A$45,0)),""))</f>
        <v/>
      </c>
    </row>
    <row r="415">
      <c r="A415" s="18">
        <f>IF(B415="","",ROW()-5)</f>
        <v/>
      </c>
      <c r="B415" s="19" t="n"/>
      <c r="C415" s="20" t="n"/>
      <c r="D415" s="21">
        <f>IF(C415="","",IFERROR(INDEX(Справочники!$B$6:$B$45,MATCH(C415,Справочники!$A$6:$A$45,0)),"нет в справочнике"))</f>
        <v/>
      </c>
      <c r="E415" s="20" t="n"/>
      <c r="F415" s="20" t="n"/>
      <c r="G415" s="20" t="n"/>
      <c r="H415" s="20" t="n"/>
      <c r="I415" s="18">
        <f>IF(C415="","",IFERROR(INDEX(Справочники!$C$6:$C$45,MATCH(C415,Справочники!$A$6:$A$45,0)),""))</f>
        <v/>
      </c>
      <c r="J415" s="22">
        <f>IF(C415="","",IFERROR(INDEX(Справочники!$E$6:$E$45,MATCH(C415,Справочники!$A$6:$A$45,0)),""))</f>
        <v/>
      </c>
      <c r="K415" s="23" t="n"/>
      <c r="L415" s="20" t="n"/>
      <c r="M415" s="19" t="n"/>
      <c r="N415" s="20" t="n"/>
      <c r="O415" s="23" t="n"/>
      <c r="P415" s="18">
        <f>IF(B415="","",IF(M415="",IF(L415="Карантин",INT(TODAY())-B415,""),M415-B415))</f>
        <v/>
      </c>
      <c r="Q415" s="18">
        <f>IF(C415="","",IFERROR(INDEX(Справочники!$D$6:$D$45,MATCH(C415,Справочники!$A$6:$A$45,0)),""))</f>
        <v/>
      </c>
    </row>
    <row r="416">
      <c r="A416" s="18">
        <f>IF(B416="","",ROW()-5)</f>
        <v/>
      </c>
      <c r="B416" s="19" t="n"/>
      <c r="C416" s="20" t="n"/>
      <c r="D416" s="21">
        <f>IF(C416="","",IFERROR(INDEX(Справочники!$B$6:$B$45,MATCH(C416,Справочники!$A$6:$A$45,0)),"нет в справочнике"))</f>
        <v/>
      </c>
      <c r="E416" s="20" t="n"/>
      <c r="F416" s="20" t="n"/>
      <c r="G416" s="20" t="n"/>
      <c r="H416" s="20" t="n"/>
      <c r="I416" s="18">
        <f>IF(C416="","",IFERROR(INDEX(Справочники!$C$6:$C$45,MATCH(C416,Справочники!$A$6:$A$45,0)),""))</f>
        <v/>
      </c>
      <c r="J416" s="22">
        <f>IF(C416="","",IFERROR(INDEX(Справочники!$E$6:$E$45,MATCH(C416,Справочники!$A$6:$A$45,0)),""))</f>
        <v/>
      </c>
      <c r="K416" s="23" t="n"/>
      <c r="L416" s="20" t="n"/>
      <c r="M416" s="19" t="n"/>
      <c r="N416" s="20" t="n"/>
      <c r="O416" s="23" t="n"/>
      <c r="P416" s="18">
        <f>IF(B416="","",IF(M416="",IF(L416="Карантин",INT(TODAY())-B416,""),M416-B416))</f>
        <v/>
      </c>
      <c r="Q416" s="18">
        <f>IF(C416="","",IFERROR(INDEX(Справочники!$D$6:$D$45,MATCH(C416,Справочники!$A$6:$A$45,0)),""))</f>
        <v/>
      </c>
    </row>
    <row r="417">
      <c r="A417" s="18">
        <f>IF(B417="","",ROW()-5)</f>
        <v/>
      </c>
      <c r="B417" s="19" t="n"/>
      <c r="C417" s="20" t="n"/>
      <c r="D417" s="21">
        <f>IF(C417="","",IFERROR(INDEX(Справочники!$B$6:$B$45,MATCH(C417,Справочники!$A$6:$A$45,0)),"нет в справочнике"))</f>
        <v/>
      </c>
      <c r="E417" s="20" t="n"/>
      <c r="F417" s="20" t="n"/>
      <c r="G417" s="20" t="n"/>
      <c r="H417" s="20" t="n"/>
      <c r="I417" s="18">
        <f>IF(C417="","",IFERROR(INDEX(Справочники!$C$6:$C$45,MATCH(C417,Справочники!$A$6:$A$45,0)),""))</f>
        <v/>
      </c>
      <c r="J417" s="22">
        <f>IF(C417="","",IFERROR(INDEX(Справочники!$E$6:$E$45,MATCH(C417,Справочники!$A$6:$A$45,0)),""))</f>
        <v/>
      </c>
      <c r="K417" s="23" t="n"/>
      <c r="L417" s="20" t="n"/>
      <c r="M417" s="19" t="n"/>
      <c r="N417" s="20" t="n"/>
      <c r="O417" s="23" t="n"/>
      <c r="P417" s="18">
        <f>IF(B417="","",IF(M417="",IF(L417="Карантин",INT(TODAY())-B417,""),M417-B417))</f>
        <v/>
      </c>
      <c r="Q417" s="18">
        <f>IF(C417="","",IFERROR(INDEX(Справочники!$D$6:$D$45,MATCH(C417,Справочники!$A$6:$A$45,0)),""))</f>
        <v/>
      </c>
    </row>
    <row r="418">
      <c r="A418" s="18">
        <f>IF(B418="","",ROW()-5)</f>
        <v/>
      </c>
      <c r="B418" s="19" t="n"/>
      <c r="C418" s="20" t="n"/>
      <c r="D418" s="21">
        <f>IF(C418="","",IFERROR(INDEX(Справочники!$B$6:$B$45,MATCH(C418,Справочники!$A$6:$A$45,0)),"нет в справочнике"))</f>
        <v/>
      </c>
      <c r="E418" s="20" t="n"/>
      <c r="F418" s="20" t="n"/>
      <c r="G418" s="20" t="n"/>
      <c r="H418" s="20" t="n"/>
      <c r="I418" s="18">
        <f>IF(C418="","",IFERROR(INDEX(Справочники!$C$6:$C$45,MATCH(C418,Справочники!$A$6:$A$45,0)),""))</f>
        <v/>
      </c>
      <c r="J418" s="22">
        <f>IF(C418="","",IFERROR(INDEX(Справочники!$E$6:$E$45,MATCH(C418,Справочники!$A$6:$A$45,0)),""))</f>
        <v/>
      </c>
      <c r="K418" s="23" t="n"/>
      <c r="L418" s="20" t="n"/>
      <c r="M418" s="19" t="n"/>
      <c r="N418" s="20" t="n"/>
      <c r="O418" s="23" t="n"/>
      <c r="P418" s="18">
        <f>IF(B418="","",IF(M418="",IF(L418="Карантин",INT(TODAY())-B418,""),M418-B418))</f>
        <v/>
      </c>
      <c r="Q418" s="18">
        <f>IF(C418="","",IFERROR(INDEX(Справочники!$D$6:$D$45,MATCH(C418,Справочники!$A$6:$A$45,0)),""))</f>
        <v/>
      </c>
    </row>
    <row r="419">
      <c r="A419" s="18">
        <f>IF(B419="","",ROW()-5)</f>
        <v/>
      </c>
      <c r="B419" s="19" t="n"/>
      <c r="C419" s="20" t="n"/>
      <c r="D419" s="21">
        <f>IF(C419="","",IFERROR(INDEX(Справочники!$B$6:$B$45,MATCH(C419,Справочники!$A$6:$A$45,0)),"нет в справочнике"))</f>
        <v/>
      </c>
      <c r="E419" s="20" t="n"/>
      <c r="F419" s="20" t="n"/>
      <c r="G419" s="20" t="n"/>
      <c r="H419" s="20" t="n"/>
      <c r="I419" s="18">
        <f>IF(C419="","",IFERROR(INDEX(Справочники!$C$6:$C$45,MATCH(C419,Справочники!$A$6:$A$45,0)),""))</f>
        <v/>
      </c>
      <c r="J419" s="22">
        <f>IF(C419="","",IFERROR(INDEX(Справочники!$E$6:$E$45,MATCH(C419,Справочники!$A$6:$A$45,0)),""))</f>
        <v/>
      </c>
      <c r="K419" s="23" t="n"/>
      <c r="L419" s="20" t="n"/>
      <c r="M419" s="19" t="n"/>
      <c r="N419" s="20" t="n"/>
      <c r="O419" s="23" t="n"/>
      <c r="P419" s="18">
        <f>IF(B419="","",IF(M419="",IF(L419="Карантин",INT(TODAY())-B419,""),M419-B419))</f>
        <v/>
      </c>
      <c r="Q419" s="18">
        <f>IF(C419="","",IFERROR(INDEX(Справочники!$D$6:$D$45,MATCH(C419,Справочники!$A$6:$A$45,0)),""))</f>
        <v/>
      </c>
    </row>
    <row r="420">
      <c r="A420" s="18">
        <f>IF(B420="","",ROW()-5)</f>
        <v/>
      </c>
      <c r="B420" s="19" t="n"/>
      <c r="C420" s="20" t="n"/>
      <c r="D420" s="21">
        <f>IF(C420="","",IFERROR(INDEX(Справочники!$B$6:$B$45,MATCH(C420,Справочники!$A$6:$A$45,0)),"нет в справочнике"))</f>
        <v/>
      </c>
      <c r="E420" s="20" t="n"/>
      <c r="F420" s="20" t="n"/>
      <c r="G420" s="20" t="n"/>
      <c r="H420" s="20" t="n"/>
      <c r="I420" s="18">
        <f>IF(C420="","",IFERROR(INDEX(Справочники!$C$6:$C$45,MATCH(C420,Справочники!$A$6:$A$45,0)),""))</f>
        <v/>
      </c>
      <c r="J420" s="22">
        <f>IF(C420="","",IFERROR(INDEX(Справочники!$E$6:$E$45,MATCH(C420,Справочники!$A$6:$A$45,0)),""))</f>
        <v/>
      </c>
      <c r="K420" s="23" t="n"/>
      <c r="L420" s="20" t="n"/>
      <c r="M420" s="19" t="n"/>
      <c r="N420" s="20" t="n"/>
      <c r="O420" s="23" t="n"/>
      <c r="P420" s="18">
        <f>IF(B420="","",IF(M420="",IF(L420="Карантин",INT(TODAY())-B420,""),M420-B420))</f>
        <v/>
      </c>
      <c r="Q420" s="18">
        <f>IF(C420="","",IFERROR(INDEX(Справочники!$D$6:$D$45,MATCH(C420,Справочники!$A$6:$A$45,0)),""))</f>
        <v/>
      </c>
    </row>
    <row r="421">
      <c r="A421" s="18">
        <f>IF(B421="","",ROW()-5)</f>
        <v/>
      </c>
      <c r="B421" s="19" t="n"/>
      <c r="C421" s="20" t="n"/>
      <c r="D421" s="21">
        <f>IF(C421="","",IFERROR(INDEX(Справочники!$B$6:$B$45,MATCH(C421,Справочники!$A$6:$A$45,0)),"нет в справочнике"))</f>
        <v/>
      </c>
      <c r="E421" s="20" t="n"/>
      <c r="F421" s="20" t="n"/>
      <c r="G421" s="20" t="n"/>
      <c r="H421" s="20" t="n"/>
      <c r="I421" s="18">
        <f>IF(C421="","",IFERROR(INDEX(Справочники!$C$6:$C$45,MATCH(C421,Справочники!$A$6:$A$45,0)),""))</f>
        <v/>
      </c>
      <c r="J421" s="22">
        <f>IF(C421="","",IFERROR(INDEX(Справочники!$E$6:$E$45,MATCH(C421,Справочники!$A$6:$A$45,0)),""))</f>
        <v/>
      </c>
      <c r="K421" s="23" t="n"/>
      <c r="L421" s="20" t="n"/>
      <c r="M421" s="19" t="n"/>
      <c r="N421" s="20" t="n"/>
      <c r="O421" s="23" t="n"/>
      <c r="P421" s="18">
        <f>IF(B421="","",IF(M421="",IF(L421="Карантин",INT(TODAY())-B421,""),M421-B421))</f>
        <v/>
      </c>
      <c r="Q421" s="18">
        <f>IF(C421="","",IFERROR(INDEX(Справочники!$D$6:$D$45,MATCH(C421,Справочники!$A$6:$A$45,0)),""))</f>
        <v/>
      </c>
    </row>
    <row r="422">
      <c r="A422" s="18">
        <f>IF(B422="","",ROW()-5)</f>
        <v/>
      </c>
      <c r="B422" s="19" t="n"/>
      <c r="C422" s="20" t="n"/>
      <c r="D422" s="21">
        <f>IF(C422="","",IFERROR(INDEX(Справочники!$B$6:$B$45,MATCH(C422,Справочники!$A$6:$A$45,0)),"нет в справочнике"))</f>
        <v/>
      </c>
      <c r="E422" s="20" t="n"/>
      <c r="F422" s="20" t="n"/>
      <c r="G422" s="20" t="n"/>
      <c r="H422" s="20" t="n"/>
      <c r="I422" s="18">
        <f>IF(C422="","",IFERROR(INDEX(Справочники!$C$6:$C$45,MATCH(C422,Справочники!$A$6:$A$45,0)),""))</f>
        <v/>
      </c>
      <c r="J422" s="22">
        <f>IF(C422="","",IFERROR(INDEX(Справочники!$E$6:$E$45,MATCH(C422,Справочники!$A$6:$A$45,0)),""))</f>
        <v/>
      </c>
      <c r="K422" s="23" t="n"/>
      <c r="L422" s="20" t="n"/>
      <c r="M422" s="19" t="n"/>
      <c r="N422" s="20" t="n"/>
      <c r="O422" s="23" t="n"/>
      <c r="P422" s="18">
        <f>IF(B422="","",IF(M422="",IF(L422="Карантин",INT(TODAY())-B422,""),M422-B422))</f>
        <v/>
      </c>
      <c r="Q422" s="18">
        <f>IF(C422="","",IFERROR(INDEX(Справочники!$D$6:$D$45,MATCH(C422,Справочники!$A$6:$A$45,0)),""))</f>
        <v/>
      </c>
    </row>
    <row r="423">
      <c r="A423" s="18">
        <f>IF(B423="","",ROW()-5)</f>
        <v/>
      </c>
      <c r="B423" s="19" t="n"/>
      <c r="C423" s="20" t="n"/>
      <c r="D423" s="21">
        <f>IF(C423="","",IFERROR(INDEX(Справочники!$B$6:$B$45,MATCH(C423,Справочники!$A$6:$A$45,0)),"нет в справочнике"))</f>
        <v/>
      </c>
      <c r="E423" s="20" t="n"/>
      <c r="F423" s="20" t="n"/>
      <c r="G423" s="20" t="n"/>
      <c r="H423" s="20" t="n"/>
      <c r="I423" s="18">
        <f>IF(C423="","",IFERROR(INDEX(Справочники!$C$6:$C$45,MATCH(C423,Справочники!$A$6:$A$45,0)),""))</f>
        <v/>
      </c>
      <c r="J423" s="22">
        <f>IF(C423="","",IFERROR(INDEX(Справочники!$E$6:$E$45,MATCH(C423,Справочники!$A$6:$A$45,0)),""))</f>
        <v/>
      </c>
      <c r="K423" s="23" t="n"/>
      <c r="L423" s="20" t="n"/>
      <c r="M423" s="19" t="n"/>
      <c r="N423" s="20" t="n"/>
      <c r="O423" s="23" t="n"/>
      <c r="P423" s="18">
        <f>IF(B423="","",IF(M423="",IF(L423="Карантин",INT(TODAY())-B423,""),M423-B423))</f>
        <v/>
      </c>
      <c r="Q423" s="18">
        <f>IF(C423="","",IFERROR(INDEX(Справочники!$D$6:$D$45,MATCH(C423,Справочники!$A$6:$A$45,0)),""))</f>
        <v/>
      </c>
    </row>
    <row r="424">
      <c r="A424" s="18">
        <f>IF(B424="","",ROW()-5)</f>
        <v/>
      </c>
      <c r="B424" s="19" t="n"/>
      <c r="C424" s="20" t="n"/>
      <c r="D424" s="21">
        <f>IF(C424="","",IFERROR(INDEX(Справочники!$B$6:$B$45,MATCH(C424,Справочники!$A$6:$A$45,0)),"нет в справочнике"))</f>
        <v/>
      </c>
      <c r="E424" s="20" t="n"/>
      <c r="F424" s="20" t="n"/>
      <c r="G424" s="20" t="n"/>
      <c r="H424" s="20" t="n"/>
      <c r="I424" s="18">
        <f>IF(C424="","",IFERROR(INDEX(Справочники!$C$6:$C$45,MATCH(C424,Справочники!$A$6:$A$45,0)),""))</f>
        <v/>
      </c>
      <c r="J424" s="22">
        <f>IF(C424="","",IFERROR(INDEX(Справочники!$E$6:$E$45,MATCH(C424,Справочники!$A$6:$A$45,0)),""))</f>
        <v/>
      </c>
      <c r="K424" s="23" t="n"/>
      <c r="L424" s="20" t="n"/>
      <c r="M424" s="19" t="n"/>
      <c r="N424" s="20" t="n"/>
      <c r="O424" s="23" t="n"/>
      <c r="P424" s="18">
        <f>IF(B424="","",IF(M424="",IF(L424="Карантин",INT(TODAY())-B424,""),M424-B424))</f>
        <v/>
      </c>
      <c r="Q424" s="18">
        <f>IF(C424="","",IFERROR(INDEX(Справочники!$D$6:$D$45,MATCH(C424,Справочники!$A$6:$A$45,0)),""))</f>
        <v/>
      </c>
    </row>
    <row r="425">
      <c r="A425" s="18">
        <f>IF(B425="","",ROW()-5)</f>
        <v/>
      </c>
      <c r="B425" s="19" t="n"/>
      <c r="C425" s="20" t="n"/>
      <c r="D425" s="21">
        <f>IF(C425="","",IFERROR(INDEX(Справочники!$B$6:$B$45,MATCH(C425,Справочники!$A$6:$A$45,0)),"нет в справочнике"))</f>
        <v/>
      </c>
      <c r="E425" s="20" t="n"/>
      <c r="F425" s="20" t="n"/>
      <c r="G425" s="20" t="n"/>
      <c r="H425" s="20" t="n"/>
      <c r="I425" s="18">
        <f>IF(C425="","",IFERROR(INDEX(Справочники!$C$6:$C$45,MATCH(C425,Справочники!$A$6:$A$45,0)),""))</f>
        <v/>
      </c>
      <c r="J425" s="22">
        <f>IF(C425="","",IFERROR(INDEX(Справочники!$E$6:$E$45,MATCH(C425,Справочники!$A$6:$A$45,0)),""))</f>
        <v/>
      </c>
      <c r="K425" s="23" t="n"/>
      <c r="L425" s="20" t="n"/>
      <c r="M425" s="19" t="n"/>
      <c r="N425" s="20" t="n"/>
      <c r="O425" s="23" t="n"/>
      <c r="P425" s="18">
        <f>IF(B425="","",IF(M425="",IF(L425="Карантин",INT(TODAY())-B425,""),M425-B425))</f>
        <v/>
      </c>
      <c r="Q425" s="18">
        <f>IF(C425="","",IFERROR(INDEX(Справочники!$D$6:$D$45,MATCH(C425,Справочники!$A$6:$A$45,0)),""))</f>
        <v/>
      </c>
    </row>
    <row r="426">
      <c r="A426" s="18">
        <f>IF(B426="","",ROW()-5)</f>
        <v/>
      </c>
      <c r="B426" s="19" t="n"/>
      <c r="C426" s="20" t="n"/>
      <c r="D426" s="21">
        <f>IF(C426="","",IFERROR(INDEX(Справочники!$B$6:$B$45,MATCH(C426,Справочники!$A$6:$A$45,0)),"нет в справочнике"))</f>
        <v/>
      </c>
      <c r="E426" s="20" t="n"/>
      <c r="F426" s="20" t="n"/>
      <c r="G426" s="20" t="n"/>
      <c r="H426" s="20" t="n"/>
      <c r="I426" s="18">
        <f>IF(C426="","",IFERROR(INDEX(Справочники!$C$6:$C$45,MATCH(C426,Справочники!$A$6:$A$45,0)),""))</f>
        <v/>
      </c>
      <c r="J426" s="22">
        <f>IF(C426="","",IFERROR(INDEX(Справочники!$E$6:$E$45,MATCH(C426,Справочники!$A$6:$A$45,0)),""))</f>
        <v/>
      </c>
      <c r="K426" s="23" t="n"/>
      <c r="L426" s="20" t="n"/>
      <c r="M426" s="19" t="n"/>
      <c r="N426" s="20" t="n"/>
      <c r="O426" s="23" t="n"/>
      <c r="P426" s="18">
        <f>IF(B426="","",IF(M426="",IF(L426="Карантин",INT(TODAY())-B426,""),M426-B426))</f>
        <v/>
      </c>
      <c r="Q426" s="18">
        <f>IF(C426="","",IFERROR(INDEX(Справочники!$D$6:$D$45,MATCH(C426,Справочники!$A$6:$A$45,0)),""))</f>
        <v/>
      </c>
    </row>
    <row r="427">
      <c r="A427" s="18">
        <f>IF(B427="","",ROW()-5)</f>
        <v/>
      </c>
      <c r="B427" s="19" t="n"/>
      <c r="C427" s="20" t="n"/>
      <c r="D427" s="21">
        <f>IF(C427="","",IFERROR(INDEX(Справочники!$B$6:$B$45,MATCH(C427,Справочники!$A$6:$A$45,0)),"нет в справочнике"))</f>
        <v/>
      </c>
      <c r="E427" s="20" t="n"/>
      <c r="F427" s="20" t="n"/>
      <c r="G427" s="20" t="n"/>
      <c r="H427" s="20" t="n"/>
      <c r="I427" s="18">
        <f>IF(C427="","",IFERROR(INDEX(Справочники!$C$6:$C$45,MATCH(C427,Справочники!$A$6:$A$45,0)),""))</f>
        <v/>
      </c>
      <c r="J427" s="22">
        <f>IF(C427="","",IFERROR(INDEX(Справочники!$E$6:$E$45,MATCH(C427,Справочники!$A$6:$A$45,0)),""))</f>
        <v/>
      </c>
      <c r="K427" s="23" t="n"/>
      <c r="L427" s="20" t="n"/>
      <c r="M427" s="19" t="n"/>
      <c r="N427" s="20" t="n"/>
      <c r="O427" s="23" t="n"/>
      <c r="P427" s="18">
        <f>IF(B427="","",IF(M427="",IF(L427="Карантин",INT(TODAY())-B427,""),M427-B427))</f>
        <v/>
      </c>
      <c r="Q427" s="18">
        <f>IF(C427="","",IFERROR(INDEX(Справочники!$D$6:$D$45,MATCH(C427,Справочники!$A$6:$A$45,0)),""))</f>
        <v/>
      </c>
    </row>
    <row r="428">
      <c r="A428" s="18">
        <f>IF(B428="","",ROW()-5)</f>
        <v/>
      </c>
      <c r="B428" s="19" t="n"/>
      <c r="C428" s="20" t="n"/>
      <c r="D428" s="21">
        <f>IF(C428="","",IFERROR(INDEX(Справочники!$B$6:$B$45,MATCH(C428,Справочники!$A$6:$A$45,0)),"нет в справочнике"))</f>
        <v/>
      </c>
      <c r="E428" s="20" t="n"/>
      <c r="F428" s="20" t="n"/>
      <c r="G428" s="20" t="n"/>
      <c r="H428" s="20" t="n"/>
      <c r="I428" s="18">
        <f>IF(C428="","",IFERROR(INDEX(Справочники!$C$6:$C$45,MATCH(C428,Справочники!$A$6:$A$45,0)),""))</f>
        <v/>
      </c>
      <c r="J428" s="22">
        <f>IF(C428="","",IFERROR(INDEX(Справочники!$E$6:$E$45,MATCH(C428,Справочники!$A$6:$A$45,0)),""))</f>
        <v/>
      </c>
      <c r="K428" s="23" t="n"/>
      <c r="L428" s="20" t="n"/>
      <c r="M428" s="19" t="n"/>
      <c r="N428" s="20" t="n"/>
      <c r="O428" s="23" t="n"/>
      <c r="P428" s="18">
        <f>IF(B428="","",IF(M428="",IF(L428="Карантин",INT(TODAY())-B428,""),M428-B428))</f>
        <v/>
      </c>
      <c r="Q428" s="18">
        <f>IF(C428="","",IFERROR(INDEX(Справочники!$D$6:$D$45,MATCH(C428,Справочники!$A$6:$A$45,0)),""))</f>
        <v/>
      </c>
    </row>
    <row r="429">
      <c r="A429" s="18">
        <f>IF(B429="","",ROW()-5)</f>
        <v/>
      </c>
      <c r="B429" s="19" t="n"/>
      <c r="C429" s="20" t="n"/>
      <c r="D429" s="21">
        <f>IF(C429="","",IFERROR(INDEX(Справочники!$B$6:$B$45,MATCH(C429,Справочники!$A$6:$A$45,0)),"нет в справочнике"))</f>
        <v/>
      </c>
      <c r="E429" s="20" t="n"/>
      <c r="F429" s="20" t="n"/>
      <c r="G429" s="20" t="n"/>
      <c r="H429" s="20" t="n"/>
      <c r="I429" s="18">
        <f>IF(C429="","",IFERROR(INDEX(Справочники!$C$6:$C$45,MATCH(C429,Справочники!$A$6:$A$45,0)),""))</f>
        <v/>
      </c>
      <c r="J429" s="22">
        <f>IF(C429="","",IFERROR(INDEX(Справочники!$E$6:$E$45,MATCH(C429,Справочники!$A$6:$A$45,0)),""))</f>
        <v/>
      </c>
      <c r="K429" s="23" t="n"/>
      <c r="L429" s="20" t="n"/>
      <c r="M429" s="19" t="n"/>
      <c r="N429" s="20" t="n"/>
      <c r="O429" s="23" t="n"/>
      <c r="P429" s="18">
        <f>IF(B429="","",IF(M429="",IF(L429="Карантин",INT(TODAY())-B429,""),M429-B429))</f>
        <v/>
      </c>
      <c r="Q429" s="18">
        <f>IF(C429="","",IFERROR(INDEX(Справочники!$D$6:$D$45,MATCH(C429,Справочники!$A$6:$A$45,0)),""))</f>
        <v/>
      </c>
    </row>
    <row r="430">
      <c r="A430" s="18">
        <f>IF(B430="","",ROW()-5)</f>
        <v/>
      </c>
      <c r="B430" s="19" t="n"/>
      <c r="C430" s="20" t="n"/>
      <c r="D430" s="21">
        <f>IF(C430="","",IFERROR(INDEX(Справочники!$B$6:$B$45,MATCH(C430,Справочники!$A$6:$A$45,0)),"нет в справочнике"))</f>
        <v/>
      </c>
      <c r="E430" s="20" t="n"/>
      <c r="F430" s="20" t="n"/>
      <c r="G430" s="20" t="n"/>
      <c r="H430" s="20" t="n"/>
      <c r="I430" s="18">
        <f>IF(C430="","",IFERROR(INDEX(Справочники!$C$6:$C$45,MATCH(C430,Справочники!$A$6:$A$45,0)),""))</f>
        <v/>
      </c>
      <c r="J430" s="22">
        <f>IF(C430="","",IFERROR(INDEX(Справочники!$E$6:$E$45,MATCH(C430,Справочники!$A$6:$A$45,0)),""))</f>
        <v/>
      </c>
      <c r="K430" s="23" t="n"/>
      <c r="L430" s="20" t="n"/>
      <c r="M430" s="19" t="n"/>
      <c r="N430" s="20" t="n"/>
      <c r="O430" s="23" t="n"/>
      <c r="P430" s="18">
        <f>IF(B430="","",IF(M430="",IF(L430="Карантин",INT(TODAY())-B430,""),M430-B430))</f>
        <v/>
      </c>
      <c r="Q430" s="18">
        <f>IF(C430="","",IFERROR(INDEX(Справочники!$D$6:$D$45,MATCH(C430,Справочники!$A$6:$A$45,0)),""))</f>
        <v/>
      </c>
    </row>
    <row r="431">
      <c r="A431" s="18">
        <f>IF(B431="","",ROW()-5)</f>
        <v/>
      </c>
      <c r="B431" s="19" t="n"/>
      <c r="C431" s="20" t="n"/>
      <c r="D431" s="21">
        <f>IF(C431="","",IFERROR(INDEX(Справочники!$B$6:$B$45,MATCH(C431,Справочники!$A$6:$A$45,0)),"нет в справочнике"))</f>
        <v/>
      </c>
      <c r="E431" s="20" t="n"/>
      <c r="F431" s="20" t="n"/>
      <c r="G431" s="20" t="n"/>
      <c r="H431" s="20" t="n"/>
      <c r="I431" s="18">
        <f>IF(C431="","",IFERROR(INDEX(Справочники!$C$6:$C$45,MATCH(C431,Справочники!$A$6:$A$45,0)),""))</f>
        <v/>
      </c>
      <c r="J431" s="22">
        <f>IF(C431="","",IFERROR(INDEX(Справочники!$E$6:$E$45,MATCH(C431,Справочники!$A$6:$A$45,0)),""))</f>
        <v/>
      </c>
      <c r="K431" s="23" t="n"/>
      <c r="L431" s="20" t="n"/>
      <c r="M431" s="19" t="n"/>
      <c r="N431" s="20" t="n"/>
      <c r="O431" s="23" t="n"/>
      <c r="P431" s="18">
        <f>IF(B431="","",IF(M431="",IF(L431="Карантин",INT(TODAY())-B431,""),M431-B431))</f>
        <v/>
      </c>
      <c r="Q431" s="18">
        <f>IF(C431="","",IFERROR(INDEX(Справочники!$D$6:$D$45,MATCH(C431,Справочники!$A$6:$A$45,0)),""))</f>
        <v/>
      </c>
    </row>
    <row r="432">
      <c r="A432" s="18">
        <f>IF(B432="","",ROW()-5)</f>
        <v/>
      </c>
      <c r="B432" s="19" t="n"/>
      <c r="C432" s="20" t="n"/>
      <c r="D432" s="21">
        <f>IF(C432="","",IFERROR(INDEX(Справочники!$B$6:$B$45,MATCH(C432,Справочники!$A$6:$A$45,0)),"нет в справочнике"))</f>
        <v/>
      </c>
      <c r="E432" s="20" t="n"/>
      <c r="F432" s="20" t="n"/>
      <c r="G432" s="20" t="n"/>
      <c r="H432" s="20" t="n"/>
      <c r="I432" s="18">
        <f>IF(C432="","",IFERROR(INDEX(Справочники!$C$6:$C$45,MATCH(C432,Справочники!$A$6:$A$45,0)),""))</f>
        <v/>
      </c>
      <c r="J432" s="22">
        <f>IF(C432="","",IFERROR(INDEX(Справочники!$E$6:$E$45,MATCH(C432,Справочники!$A$6:$A$45,0)),""))</f>
        <v/>
      </c>
      <c r="K432" s="23" t="n"/>
      <c r="L432" s="20" t="n"/>
      <c r="M432" s="19" t="n"/>
      <c r="N432" s="20" t="n"/>
      <c r="O432" s="23" t="n"/>
      <c r="P432" s="18">
        <f>IF(B432="","",IF(M432="",IF(L432="Карантин",INT(TODAY())-B432,""),M432-B432))</f>
        <v/>
      </c>
      <c r="Q432" s="18">
        <f>IF(C432="","",IFERROR(INDEX(Справочники!$D$6:$D$45,MATCH(C432,Справочники!$A$6:$A$45,0)),""))</f>
        <v/>
      </c>
    </row>
    <row r="433">
      <c r="A433" s="18">
        <f>IF(B433="","",ROW()-5)</f>
        <v/>
      </c>
      <c r="B433" s="19" t="n"/>
      <c r="C433" s="20" t="n"/>
      <c r="D433" s="21">
        <f>IF(C433="","",IFERROR(INDEX(Справочники!$B$6:$B$45,MATCH(C433,Справочники!$A$6:$A$45,0)),"нет в справочнике"))</f>
        <v/>
      </c>
      <c r="E433" s="20" t="n"/>
      <c r="F433" s="20" t="n"/>
      <c r="G433" s="20" t="n"/>
      <c r="H433" s="20" t="n"/>
      <c r="I433" s="18">
        <f>IF(C433="","",IFERROR(INDEX(Справочники!$C$6:$C$45,MATCH(C433,Справочники!$A$6:$A$45,0)),""))</f>
        <v/>
      </c>
      <c r="J433" s="22">
        <f>IF(C433="","",IFERROR(INDEX(Справочники!$E$6:$E$45,MATCH(C433,Справочники!$A$6:$A$45,0)),""))</f>
        <v/>
      </c>
      <c r="K433" s="23" t="n"/>
      <c r="L433" s="20" t="n"/>
      <c r="M433" s="19" t="n"/>
      <c r="N433" s="20" t="n"/>
      <c r="O433" s="23" t="n"/>
      <c r="P433" s="18">
        <f>IF(B433="","",IF(M433="",IF(L433="Карантин",INT(TODAY())-B433,""),M433-B433))</f>
        <v/>
      </c>
      <c r="Q433" s="18">
        <f>IF(C433="","",IFERROR(INDEX(Справочники!$D$6:$D$45,MATCH(C433,Справочники!$A$6:$A$45,0)),""))</f>
        <v/>
      </c>
    </row>
    <row r="434">
      <c r="A434" s="18">
        <f>IF(B434="","",ROW()-5)</f>
        <v/>
      </c>
      <c r="B434" s="19" t="n"/>
      <c r="C434" s="20" t="n"/>
      <c r="D434" s="21">
        <f>IF(C434="","",IFERROR(INDEX(Справочники!$B$6:$B$45,MATCH(C434,Справочники!$A$6:$A$45,0)),"нет в справочнике"))</f>
        <v/>
      </c>
      <c r="E434" s="20" t="n"/>
      <c r="F434" s="20" t="n"/>
      <c r="G434" s="20" t="n"/>
      <c r="H434" s="20" t="n"/>
      <c r="I434" s="18">
        <f>IF(C434="","",IFERROR(INDEX(Справочники!$C$6:$C$45,MATCH(C434,Справочники!$A$6:$A$45,0)),""))</f>
        <v/>
      </c>
      <c r="J434" s="22">
        <f>IF(C434="","",IFERROR(INDEX(Справочники!$E$6:$E$45,MATCH(C434,Справочники!$A$6:$A$45,0)),""))</f>
        <v/>
      </c>
      <c r="K434" s="23" t="n"/>
      <c r="L434" s="20" t="n"/>
      <c r="M434" s="19" t="n"/>
      <c r="N434" s="20" t="n"/>
      <c r="O434" s="23" t="n"/>
      <c r="P434" s="18">
        <f>IF(B434="","",IF(M434="",IF(L434="Карантин",INT(TODAY())-B434,""),M434-B434))</f>
        <v/>
      </c>
      <c r="Q434" s="18">
        <f>IF(C434="","",IFERROR(INDEX(Справочники!$D$6:$D$45,MATCH(C434,Справочники!$A$6:$A$45,0)),""))</f>
        <v/>
      </c>
    </row>
    <row r="435">
      <c r="A435" s="18">
        <f>IF(B435="","",ROW()-5)</f>
        <v/>
      </c>
      <c r="B435" s="19" t="n"/>
      <c r="C435" s="20" t="n"/>
      <c r="D435" s="21">
        <f>IF(C435="","",IFERROR(INDEX(Справочники!$B$6:$B$45,MATCH(C435,Справочники!$A$6:$A$45,0)),"нет в справочнике"))</f>
        <v/>
      </c>
      <c r="E435" s="20" t="n"/>
      <c r="F435" s="20" t="n"/>
      <c r="G435" s="20" t="n"/>
      <c r="H435" s="20" t="n"/>
      <c r="I435" s="18">
        <f>IF(C435="","",IFERROR(INDEX(Справочники!$C$6:$C$45,MATCH(C435,Справочники!$A$6:$A$45,0)),""))</f>
        <v/>
      </c>
      <c r="J435" s="22">
        <f>IF(C435="","",IFERROR(INDEX(Справочники!$E$6:$E$45,MATCH(C435,Справочники!$A$6:$A$45,0)),""))</f>
        <v/>
      </c>
      <c r="K435" s="23" t="n"/>
      <c r="L435" s="20" t="n"/>
      <c r="M435" s="19" t="n"/>
      <c r="N435" s="20" t="n"/>
      <c r="O435" s="23" t="n"/>
      <c r="P435" s="18">
        <f>IF(B435="","",IF(M435="",IF(L435="Карантин",INT(TODAY())-B435,""),M435-B435))</f>
        <v/>
      </c>
      <c r="Q435" s="18">
        <f>IF(C435="","",IFERROR(INDEX(Справочники!$D$6:$D$45,MATCH(C435,Справочники!$A$6:$A$45,0)),""))</f>
        <v/>
      </c>
    </row>
    <row r="436">
      <c r="A436" s="18">
        <f>IF(B436="","",ROW()-5)</f>
        <v/>
      </c>
      <c r="B436" s="19" t="n"/>
      <c r="C436" s="20" t="n"/>
      <c r="D436" s="21">
        <f>IF(C436="","",IFERROR(INDEX(Справочники!$B$6:$B$45,MATCH(C436,Справочники!$A$6:$A$45,0)),"нет в справочнике"))</f>
        <v/>
      </c>
      <c r="E436" s="20" t="n"/>
      <c r="F436" s="20" t="n"/>
      <c r="G436" s="20" t="n"/>
      <c r="H436" s="20" t="n"/>
      <c r="I436" s="18">
        <f>IF(C436="","",IFERROR(INDEX(Справочники!$C$6:$C$45,MATCH(C436,Справочники!$A$6:$A$45,0)),""))</f>
        <v/>
      </c>
      <c r="J436" s="22">
        <f>IF(C436="","",IFERROR(INDEX(Справочники!$E$6:$E$45,MATCH(C436,Справочники!$A$6:$A$45,0)),""))</f>
        <v/>
      </c>
      <c r="K436" s="23" t="n"/>
      <c r="L436" s="20" t="n"/>
      <c r="M436" s="19" t="n"/>
      <c r="N436" s="20" t="n"/>
      <c r="O436" s="23" t="n"/>
      <c r="P436" s="18">
        <f>IF(B436="","",IF(M436="",IF(L436="Карантин",INT(TODAY())-B436,""),M436-B436))</f>
        <v/>
      </c>
      <c r="Q436" s="18">
        <f>IF(C436="","",IFERROR(INDEX(Справочники!$D$6:$D$45,MATCH(C436,Справочники!$A$6:$A$45,0)),""))</f>
        <v/>
      </c>
    </row>
    <row r="437">
      <c r="A437" s="18">
        <f>IF(B437="","",ROW()-5)</f>
        <v/>
      </c>
      <c r="B437" s="19" t="n"/>
      <c r="C437" s="20" t="n"/>
      <c r="D437" s="21">
        <f>IF(C437="","",IFERROR(INDEX(Справочники!$B$6:$B$45,MATCH(C437,Справочники!$A$6:$A$45,0)),"нет в справочнике"))</f>
        <v/>
      </c>
      <c r="E437" s="20" t="n"/>
      <c r="F437" s="20" t="n"/>
      <c r="G437" s="20" t="n"/>
      <c r="H437" s="20" t="n"/>
      <c r="I437" s="18">
        <f>IF(C437="","",IFERROR(INDEX(Справочники!$C$6:$C$45,MATCH(C437,Справочники!$A$6:$A$45,0)),""))</f>
        <v/>
      </c>
      <c r="J437" s="22">
        <f>IF(C437="","",IFERROR(INDEX(Справочники!$E$6:$E$45,MATCH(C437,Справочники!$A$6:$A$45,0)),""))</f>
        <v/>
      </c>
      <c r="K437" s="23" t="n"/>
      <c r="L437" s="20" t="n"/>
      <c r="M437" s="19" t="n"/>
      <c r="N437" s="20" t="n"/>
      <c r="O437" s="23" t="n"/>
      <c r="P437" s="18">
        <f>IF(B437="","",IF(M437="",IF(L437="Карантин",INT(TODAY())-B437,""),M437-B437))</f>
        <v/>
      </c>
      <c r="Q437" s="18">
        <f>IF(C437="","",IFERROR(INDEX(Справочники!$D$6:$D$45,MATCH(C437,Справочники!$A$6:$A$45,0)),""))</f>
        <v/>
      </c>
    </row>
    <row r="438">
      <c r="A438" s="18">
        <f>IF(B438="","",ROW()-5)</f>
        <v/>
      </c>
      <c r="B438" s="19" t="n"/>
      <c r="C438" s="20" t="n"/>
      <c r="D438" s="21">
        <f>IF(C438="","",IFERROR(INDEX(Справочники!$B$6:$B$45,MATCH(C438,Справочники!$A$6:$A$45,0)),"нет в справочнике"))</f>
        <v/>
      </c>
      <c r="E438" s="20" t="n"/>
      <c r="F438" s="20" t="n"/>
      <c r="G438" s="20" t="n"/>
      <c r="H438" s="20" t="n"/>
      <c r="I438" s="18">
        <f>IF(C438="","",IFERROR(INDEX(Справочники!$C$6:$C$45,MATCH(C438,Справочники!$A$6:$A$45,0)),""))</f>
        <v/>
      </c>
      <c r="J438" s="22">
        <f>IF(C438="","",IFERROR(INDEX(Справочники!$E$6:$E$45,MATCH(C438,Справочники!$A$6:$A$45,0)),""))</f>
        <v/>
      </c>
      <c r="K438" s="23" t="n"/>
      <c r="L438" s="20" t="n"/>
      <c r="M438" s="19" t="n"/>
      <c r="N438" s="20" t="n"/>
      <c r="O438" s="23" t="n"/>
      <c r="P438" s="18">
        <f>IF(B438="","",IF(M438="",IF(L438="Карантин",INT(TODAY())-B438,""),M438-B438))</f>
        <v/>
      </c>
      <c r="Q438" s="18">
        <f>IF(C438="","",IFERROR(INDEX(Справочники!$D$6:$D$45,MATCH(C438,Справочники!$A$6:$A$45,0)),""))</f>
        <v/>
      </c>
    </row>
    <row r="439">
      <c r="A439" s="18">
        <f>IF(B439="","",ROW()-5)</f>
        <v/>
      </c>
      <c r="B439" s="19" t="n"/>
      <c r="C439" s="20" t="n"/>
      <c r="D439" s="21">
        <f>IF(C439="","",IFERROR(INDEX(Справочники!$B$6:$B$45,MATCH(C439,Справочники!$A$6:$A$45,0)),"нет в справочнике"))</f>
        <v/>
      </c>
      <c r="E439" s="20" t="n"/>
      <c r="F439" s="20" t="n"/>
      <c r="G439" s="20" t="n"/>
      <c r="H439" s="20" t="n"/>
      <c r="I439" s="18">
        <f>IF(C439="","",IFERROR(INDEX(Справочники!$C$6:$C$45,MATCH(C439,Справочники!$A$6:$A$45,0)),""))</f>
        <v/>
      </c>
      <c r="J439" s="22">
        <f>IF(C439="","",IFERROR(INDEX(Справочники!$E$6:$E$45,MATCH(C439,Справочники!$A$6:$A$45,0)),""))</f>
        <v/>
      </c>
      <c r="K439" s="23" t="n"/>
      <c r="L439" s="20" t="n"/>
      <c r="M439" s="19" t="n"/>
      <c r="N439" s="20" t="n"/>
      <c r="O439" s="23" t="n"/>
      <c r="P439" s="18">
        <f>IF(B439="","",IF(M439="",IF(L439="Карантин",INT(TODAY())-B439,""),M439-B439))</f>
        <v/>
      </c>
      <c r="Q439" s="18">
        <f>IF(C439="","",IFERROR(INDEX(Справочники!$D$6:$D$45,MATCH(C439,Справочники!$A$6:$A$45,0)),""))</f>
        <v/>
      </c>
    </row>
    <row r="440">
      <c r="A440" s="18">
        <f>IF(B440="","",ROW()-5)</f>
        <v/>
      </c>
      <c r="B440" s="19" t="n"/>
      <c r="C440" s="20" t="n"/>
      <c r="D440" s="21">
        <f>IF(C440="","",IFERROR(INDEX(Справочники!$B$6:$B$45,MATCH(C440,Справочники!$A$6:$A$45,0)),"нет в справочнике"))</f>
        <v/>
      </c>
      <c r="E440" s="20" t="n"/>
      <c r="F440" s="20" t="n"/>
      <c r="G440" s="20" t="n"/>
      <c r="H440" s="20" t="n"/>
      <c r="I440" s="18">
        <f>IF(C440="","",IFERROR(INDEX(Справочники!$C$6:$C$45,MATCH(C440,Справочники!$A$6:$A$45,0)),""))</f>
        <v/>
      </c>
      <c r="J440" s="22">
        <f>IF(C440="","",IFERROR(INDEX(Справочники!$E$6:$E$45,MATCH(C440,Справочники!$A$6:$A$45,0)),""))</f>
        <v/>
      </c>
      <c r="K440" s="23" t="n"/>
      <c r="L440" s="20" t="n"/>
      <c r="M440" s="19" t="n"/>
      <c r="N440" s="20" t="n"/>
      <c r="O440" s="23" t="n"/>
      <c r="P440" s="18">
        <f>IF(B440="","",IF(M440="",IF(L440="Карантин",INT(TODAY())-B440,""),M440-B440))</f>
        <v/>
      </c>
      <c r="Q440" s="18">
        <f>IF(C440="","",IFERROR(INDEX(Справочники!$D$6:$D$45,MATCH(C440,Справочники!$A$6:$A$45,0)),""))</f>
        <v/>
      </c>
    </row>
    <row r="441">
      <c r="A441" s="18">
        <f>IF(B441="","",ROW()-5)</f>
        <v/>
      </c>
      <c r="B441" s="19" t="n"/>
      <c r="C441" s="20" t="n"/>
      <c r="D441" s="21">
        <f>IF(C441="","",IFERROR(INDEX(Справочники!$B$6:$B$45,MATCH(C441,Справочники!$A$6:$A$45,0)),"нет в справочнике"))</f>
        <v/>
      </c>
      <c r="E441" s="20" t="n"/>
      <c r="F441" s="20" t="n"/>
      <c r="G441" s="20" t="n"/>
      <c r="H441" s="20" t="n"/>
      <c r="I441" s="18">
        <f>IF(C441="","",IFERROR(INDEX(Справочники!$C$6:$C$45,MATCH(C441,Справочники!$A$6:$A$45,0)),""))</f>
        <v/>
      </c>
      <c r="J441" s="22">
        <f>IF(C441="","",IFERROR(INDEX(Справочники!$E$6:$E$45,MATCH(C441,Справочники!$A$6:$A$45,0)),""))</f>
        <v/>
      </c>
      <c r="K441" s="23" t="n"/>
      <c r="L441" s="20" t="n"/>
      <c r="M441" s="19" t="n"/>
      <c r="N441" s="20" t="n"/>
      <c r="O441" s="23" t="n"/>
      <c r="P441" s="18">
        <f>IF(B441="","",IF(M441="",IF(L441="Карантин",INT(TODAY())-B441,""),M441-B441))</f>
        <v/>
      </c>
      <c r="Q441" s="18">
        <f>IF(C441="","",IFERROR(INDEX(Справочники!$D$6:$D$45,MATCH(C441,Справочники!$A$6:$A$45,0)),""))</f>
        <v/>
      </c>
    </row>
    <row r="442">
      <c r="A442" s="18">
        <f>IF(B442="","",ROW()-5)</f>
        <v/>
      </c>
      <c r="B442" s="19" t="n"/>
      <c r="C442" s="20" t="n"/>
      <c r="D442" s="21">
        <f>IF(C442="","",IFERROR(INDEX(Справочники!$B$6:$B$45,MATCH(C442,Справочники!$A$6:$A$45,0)),"нет в справочнике"))</f>
        <v/>
      </c>
      <c r="E442" s="20" t="n"/>
      <c r="F442" s="20" t="n"/>
      <c r="G442" s="20" t="n"/>
      <c r="H442" s="20" t="n"/>
      <c r="I442" s="18">
        <f>IF(C442="","",IFERROR(INDEX(Справочники!$C$6:$C$45,MATCH(C442,Справочники!$A$6:$A$45,0)),""))</f>
        <v/>
      </c>
      <c r="J442" s="22">
        <f>IF(C442="","",IFERROR(INDEX(Справочники!$E$6:$E$45,MATCH(C442,Справочники!$A$6:$A$45,0)),""))</f>
        <v/>
      </c>
      <c r="K442" s="23" t="n"/>
      <c r="L442" s="20" t="n"/>
      <c r="M442" s="19" t="n"/>
      <c r="N442" s="20" t="n"/>
      <c r="O442" s="23" t="n"/>
      <c r="P442" s="18">
        <f>IF(B442="","",IF(M442="",IF(L442="Карантин",INT(TODAY())-B442,""),M442-B442))</f>
        <v/>
      </c>
      <c r="Q442" s="18">
        <f>IF(C442="","",IFERROR(INDEX(Справочники!$D$6:$D$45,MATCH(C442,Справочники!$A$6:$A$45,0)),""))</f>
        <v/>
      </c>
    </row>
    <row r="443">
      <c r="A443" s="18">
        <f>IF(B443="","",ROW()-5)</f>
        <v/>
      </c>
      <c r="B443" s="19" t="n"/>
      <c r="C443" s="20" t="n"/>
      <c r="D443" s="21">
        <f>IF(C443="","",IFERROR(INDEX(Справочники!$B$6:$B$45,MATCH(C443,Справочники!$A$6:$A$45,0)),"нет в справочнике"))</f>
        <v/>
      </c>
      <c r="E443" s="20" t="n"/>
      <c r="F443" s="20" t="n"/>
      <c r="G443" s="20" t="n"/>
      <c r="H443" s="20" t="n"/>
      <c r="I443" s="18">
        <f>IF(C443="","",IFERROR(INDEX(Справочники!$C$6:$C$45,MATCH(C443,Справочники!$A$6:$A$45,0)),""))</f>
        <v/>
      </c>
      <c r="J443" s="22">
        <f>IF(C443="","",IFERROR(INDEX(Справочники!$E$6:$E$45,MATCH(C443,Справочники!$A$6:$A$45,0)),""))</f>
        <v/>
      </c>
      <c r="K443" s="23" t="n"/>
      <c r="L443" s="20" t="n"/>
      <c r="M443" s="19" t="n"/>
      <c r="N443" s="20" t="n"/>
      <c r="O443" s="23" t="n"/>
      <c r="P443" s="18">
        <f>IF(B443="","",IF(M443="",IF(L443="Карантин",INT(TODAY())-B443,""),M443-B443))</f>
        <v/>
      </c>
      <c r="Q443" s="18">
        <f>IF(C443="","",IFERROR(INDEX(Справочники!$D$6:$D$45,MATCH(C443,Справочники!$A$6:$A$45,0)),""))</f>
        <v/>
      </c>
    </row>
    <row r="444">
      <c r="A444" s="18">
        <f>IF(B444="","",ROW()-5)</f>
        <v/>
      </c>
      <c r="B444" s="19" t="n"/>
      <c r="C444" s="20" t="n"/>
      <c r="D444" s="21">
        <f>IF(C444="","",IFERROR(INDEX(Справочники!$B$6:$B$45,MATCH(C444,Справочники!$A$6:$A$45,0)),"нет в справочнике"))</f>
        <v/>
      </c>
      <c r="E444" s="20" t="n"/>
      <c r="F444" s="20" t="n"/>
      <c r="G444" s="20" t="n"/>
      <c r="H444" s="20" t="n"/>
      <c r="I444" s="18">
        <f>IF(C444="","",IFERROR(INDEX(Справочники!$C$6:$C$45,MATCH(C444,Справочники!$A$6:$A$45,0)),""))</f>
        <v/>
      </c>
      <c r="J444" s="22">
        <f>IF(C444="","",IFERROR(INDEX(Справочники!$E$6:$E$45,MATCH(C444,Справочники!$A$6:$A$45,0)),""))</f>
        <v/>
      </c>
      <c r="K444" s="23" t="n"/>
      <c r="L444" s="20" t="n"/>
      <c r="M444" s="19" t="n"/>
      <c r="N444" s="20" t="n"/>
      <c r="O444" s="23" t="n"/>
      <c r="P444" s="18">
        <f>IF(B444="","",IF(M444="",IF(L444="Карантин",INT(TODAY())-B444,""),M444-B444))</f>
        <v/>
      </c>
      <c r="Q444" s="18">
        <f>IF(C444="","",IFERROR(INDEX(Справочники!$D$6:$D$45,MATCH(C444,Справочники!$A$6:$A$45,0)),""))</f>
        <v/>
      </c>
    </row>
    <row r="445">
      <c r="A445" s="18">
        <f>IF(B445="","",ROW()-5)</f>
        <v/>
      </c>
      <c r="B445" s="19" t="n"/>
      <c r="C445" s="20" t="n"/>
      <c r="D445" s="21">
        <f>IF(C445="","",IFERROR(INDEX(Справочники!$B$6:$B$45,MATCH(C445,Справочники!$A$6:$A$45,0)),"нет в справочнике"))</f>
        <v/>
      </c>
      <c r="E445" s="20" t="n"/>
      <c r="F445" s="20" t="n"/>
      <c r="G445" s="20" t="n"/>
      <c r="H445" s="20" t="n"/>
      <c r="I445" s="18">
        <f>IF(C445="","",IFERROR(INDEX(Справочники!$C$6:$C$45,MATCH(C445,Справочники!$A$6:$A$45,0)),""))</f>
        <v/>
      </c>
      <c r="J445" s="22">
        <f>IF(C445="","",IFERROR(INDEX(Справочники!$E$6:$E$45,MATCH(C445,Справочники!$A$6:$A$45,0)),""))</f>
        <v/>
      </c>
      <c r="K445" s="23" t="n"/>
      <c r="L445" s="20" t="n"/>
      <c r="M445" s="19" t="n"/>
      <c r="N445" s="20" t="n"/>
      <c r="O445" s="23" t="n"/>
      <c r="P445" s="18">
        <f>IF(B445="","",IF(M445="",IF(L445="Карантин",INT(TODAY())-B445,""),M445-B445))</f>
        <v/>
      </c>
      <c r="Q445" s="18">
        <f>IF(C445="","",IFERROR(INDEX(Справочники!$D$6:$D$45,MATCH(C445,Справочники!$A$6:$A$45,0)),""))</f>
        <v/>
      </c>
    </row>
    <row r="446">
      <c r="A446" s="18">
        <f>IF(B446="","",ROW()-5)</f>
        <v/>
      </c>
      <c r="B446" s="19" t="n"/>
      <c r="C446" s="20" t="n"/>
      <c r="D446" s="21">
        <f>IF(C446="","",IFERROR(INDEX(Справочники!$B$6:$B$45,MATCH(C446,Справочники!$A$6:$A$45,0)),"нет в справочнике"))</f>
        <v/>
      </c>
      <c r="E446" s="20" t="n"/>
      <c r="F446" s="20" t="n"/>
      <c r="G446" s="20" t="n"/>
      <c r="H446" s="20" t="n"/>
      <c r="I446" s="18">
        <f>IF(C446="","",IFERROR(INDEX(Справочники!$C$6:$C$45,MATCH(C446,Справочники!$A$6:$A$45,0)),""))</f>
        <v/>
      </c>
      <c r="J446" s="22">
        <f>IF(C446="","",IFERROR(INDEX(Справочники!$E$6:$E$45,MATCH(C446,Справочники!$A$6:$A$45,0)),""))</f>
        <v/>
      </c>
      <c r="K446" s="23" t="n"/>
      <c r="L446" s="20" t="n"/>
      <c r="M446" s="19" t="n"/>
      <c r="N446" s="20" t="n"/>
      <c r="O446" s="23" t="n"/>
      <c r="P446" s="18">
        <f>IF(B446="","",IF(M446="",IF(L446="Карантин",INT(TODAY())-B446,""),M446-B446))</f>
        <v/>
      </c>
      <c r="Q446" s="18">
        <f>IF(C446="","",IFERROR(INDEX(Справочники!$D$6:$D$45,MATCH(C446,Справочники!$A$6:$A$45,0)),""))</f>
        <v/>
      </c>
    </row>
    <row r="447">
      <c r="A447" s="18">
        <f>IF(B447="","",ROW()-5)</f>
        <v/>
      </c>
      <c r="B447" s="19" t="n"/>
      <c r="C447" s="20" t="n"/>
      <c r="D447" s="21">
        <f>IF(C447="","",IFERROR(INDEX(Справочники!$B$6:$B$45,MATCH(C447,Справочники!$A$6:$A$45,0)),"нет в справочнике"))</f>
        <v/>
      </c>
      <c r="E447" s="20" t="n"/>
      <c r="F447" s="20" t="n"/>
      <c r="G447" s="20" t="n"/>
      <c r="H447" s="20" t="n"/>
      <c r="I447" s="18">
        <f>IF(C447="","",IFERROR(INDEX(Справочники!$C$6:$C$45,MATCH(C447,Справочники!$A$6:$A$45,0)),""))</f>
        <v/>
      </c>
      <c r="J447" s="22">
        <f>IF(C447="","",IFERROR(INDEX(Справочники!$E$6:$E$45,MATCH(C447,Справочники!$A$6:$A$45,0)),""))</f>
        <v/>
      </c>
      <c r="K447" s="23" t="n"/>
      <c r="L447" s="20" t="n"/>
      <c r="M447" s="19" t="n"/>
      <c r="N447" s="20" t="n"/>
      <c r="O447" s="23" t="n"/>
      <c r="P447" s="18">
        <f>IF(B447="","",IF(M447="",IF(L447="Карантин",INT(TODAY())-B447,""),M447-B447))</f>
        <v/>
      </c>
      <c r="Q447" s="18">
        <f>IF(C447="","",IFERROR(INDEX(Справочники!$D$6:$D$45,MATCH(C447,Справочники!$A$6:$A$45,0)),""))</f>
        <v/>
      </c>
    </row>
    <row r="448">
      <c r="A448" s="18">
        <f>IF(B448="","",ROW()-5)</f>
        <v/>
      </c>
      <c r="B448" s="19" t="n"/>
      <c r="C448" s="20" t="n"/>
      <c r="D448" s="21">
        <f>IF(C448="","",IFERROR(INDEX(Справочники!$B$6:$B$45,MATCH(C448,Справочники!$A$6:$A$45,0)),"нет в справочнике"))</f>
        <v/>
      </c>
      <c r="E448" s="20" t="n"/>
      <c r="F448" s="20" t="n"/>
      <c r="G448" s="20" t="n"/>
      <c r="H448" s="20" t="n"/>
      <c r="I448" s="18">
        <f>IF(C448="","",IFERROR(INDEX(Справочники!$C$6:$C$45,MATCH(C448,Справочники!$A$6:$A$45,0)),""))</f>
        <v/>
      </c>
      <c r="J448" s="22">
        <f>IF(C448="","",IFERROR(INDEX(Справочники!$E$6:$E$45,MATCH(C448,Справочники!$A$6:$A$45,0)),""))</f>
        <v/>
      </c>
      <c r="K448" s="23" t="n"/>
      <c r="L448" s="20" t="n"/>
      <c r="M448" s="19" t="n"/>
      <c r="N448" s="20" t="n"/>
      <c r="O448" s="23" t="n"/>
      <c r="P448" s="18">
        <f>IF(B448="","",IF(M448="",IF(L448="Карантин",INT(TODAY())-B448,""),M448-B448))</f>
        <v/>
      </c>
      <c r="Q448" s="18">
        <f>IF(C448="","",IFERROR(INDEX(Справочники!$D$6:$D$45,MATCH(C448,Справочники!$A$6:$A$45,0)),""))</f>
        <v/>
      </c>
    </row>
    <row r="449">
      <c r="A449" s="18">
        <f>IF(B449="","",ROW()-5)</f>
        <v/>
      </c>
      <c r="B449" s="19" t="n"/>
      <c r="C449" s="20" t="n"/>
      <c r="D449" s="21">
        <f>IF(C449="","",IFERROR(INDEX(Справочники!$B$6:$B$45,MATCH(C449,Справочники!$A$6:$A$45,0)),"нет в справочнике"))</f>
        <v/>
      </c>
      <c r="E449" s="20" t="n"/>
      <c r="F449" s="20" t="n"/>
      <c r="G449" s="20" t="n"/>
      <c r="H449" s="20" t="n"/>
      <c r="I449" s="18">
        <f>IF(C449="","",IFERROR(INDEX(Справочники!$C$6:$C$45,MATCH(C449,Справочники!$A$6:$A$45,0)),""))</f>
        <v/>
      </c>
      <c r="J449" s="22">
        <f>IF(C449="","",IFERROR(INDEX(Справочники!$E$6:$E$45,MATCH(C449,Справочники!$A$6:$A$45,0)),""))</f>
        <v/>
      </c>
      <c r="K449" s="23" t="n"/>
      <c r="L449" s="20" t="n"/>
      <c r="M449" s="19" t="n"/>
      <c r="N449" s="20" t="n"/>
      <c r="O449" s="23" t="n"/>
      <c r="P449" s="18">
        <f>IF(B449="","",IF(M449="",IF(L449="Карантин",INT(TODAY())-B449,""),M449-B449))</f>
        <v/>
      </c>
      <c r="Q449" s="18">
        <f>IF(C449="","",IFERROR(INDEX(Справочники!$D$6:$D$45,MATCH(C449,Справочники!$A$6:$A$45,0)),""))</f>
        <v/>
      </c>
    </row>
    <row r="450">
      <c r="A450" s="18">
        <f>IF(B450="","",ROW()-5)</f>
        <v/>
      </c>
      <c r="B450" s="19" t="n"/>
      <c r="C450" s="20" t="n"/>
      <c r="D450" s="21">
        <f>IF(C450="","",IFERROR(INDEX(Справочники!$B$6:$B$45,MATCH(C450,Справочники!$A$6:$A$45,0)),"нет в справочнике"))</f>
        <v/>
      </c>
      <c r="E450" s="20" t="n"/>
      <c r="F450" s="20" t="n"/>
      <c r="G450" s="20" t="n"/>
      <c r="H450" s="20" t="n"/>
      <c r="I450" s="18">
        <f>IF(C450="","",IFERROR(INDEX(Справочники!$C$6:$C$45,MATCH(C450,Справочники!$A$6:$A$45,0)),""))</f>
        <v/>
      </c>
      <c r="J450" s="22">
        <f>IF(C450="","",IFERROR(INDEX(Справочники!$E$6:$E$45,MATCH(C450,Справочники!$A$6:$A$45,0)),""))</f>
        <v/>
      </c>
      <c r="K450" s="23" t="n"/>
      <c r="L450" s="20" t="n"/>
      <c r="M450" s="19" t="n"/>
      <c r="N450" s="20" t="n"/>
      <c r="O450" s="23" t="n"/>
      <c r="P450" s="18">
        <f>IF(B450="","",IF(M450="",IF(L450="Карантин",INT(TODAY())-B450,""),M450-B450))</f>
        <v/>
      </c>
      <c r="Q450" s="18">
        <f>IF(C450="","",IFERROR(INDEX(Справочники!$D$6:$D$45,MATCH(C450,Справочники!$A$6:$A$45,0)),""))</f>
        <v/>
      </c>
    </row>
    <row r="451">
      <c r="A451" s="18">
        <f>IF(B451="","",ROW()-5)</f>
        <v/>
      </c>
      <c r="B451" s="19" t="n"/>
      <c r="C451" s="20" t="n"/>
      <c r="D451" s="21">
        <f>IF(C451="","",IFERROR(INDEX(Справочники!$B$6:$B$45,MATCH(C451,Справочники!$A$6:$A$45,0)),"нет в справочнике"))</f>
        <v/>
      </c>
      <c r="E451" s="20" t="n"/>
      <c r="F451" s="20" t="n"/>
      <c r="G451" s="20" t="n"/>
      <c r="H451" s="20" t="n"/>
      <c r="I451" s="18">
        <f>IF(C451="","",IFERROR(INDEX(Справочники!$C$6:$C$45,MATCH(C451,Справочники!$A$6:$A$45,0)),""))</f>
        <v/>
      </c>
      <c r="J451" s="22">
        <f>IF(C451="","",IFERROR(INDEX(Справочники!$E$6:$E$45,MATCH(C451,Справочники!$A$6:$A$45,0)),""))</f>
        <v/>
      </c>
      <c r="K451" s="23" t="n"/>
      <c r="L451" s="20" t="n"/>
      <c r="M451" s="19" t="n"/>
      <c r="N451" s="20" t="n"/>
      <c r="O451" s="23" t="n"/>
      <c r="P451" s="18">
        <f>IF(B451="","",IF(M451="",IF(L451="Карантин",INT(TODAY())-B451,""),M451-B451))</f>
        <v/>
      </c>
      <c r="Q451" s="18">
        <f>IF(C451="","",IFERROR(INDEX(Справочники!$D$6:$D$45,MATCH(C451,Справочники!$A$6:$A$45,0)),""))</f>
        <v/>
      </c>
    </row>
    <row r="452">
      <c r="A452" s="18">
        <f>IF(B452="","",ROW()-5)</f>
        <v/>
      </c>
      <c r="B452" s="19" t="n"/>
      <c r="C452" s="20" t="n"/>
      <c r="D452" s="21">
        <f>IF(C452="","",IFERROR(INDEX(Справочники!$B$6:$B$45,MATCH(C452,Справочники!$A$6:$A$45,0)),"нет в справочнике"))</f>
        <v/>
      </c>
      <c r="E452" s="20" t="n"/>
      <c r="F452" s="20" t="n"/>
      <c r="G452" s="20" t="n"/>
      <c r="H452" s="20" t="n"/>
      <c r="I452" s="18">
        <f>IF(C452="","",IFERROR(INDEX(Справочники!$C$6:$C$45,MATCH(C452,Справочники!$A$6:$A$45,0)),""))</f>
        <v/>
      </c>
      <c r="J452" s="22">
        <f>IF(C452="","",IFERROR(INDEX(Справочники!$E$6:$E$45,MATCH(C452,Справочники!$A$6:$A$45,0)),""))</f>
        <v/>
      </c>
      <c r="K452" s="23" t="n"/>
      <c r="L452" s="20" t="n"/>
      <c r="M452" s="19" t="n"/>
      <c r="N452" s="20" t="n"/>
      <c r="O452" s="23" t="n"/>
      <c r="P452" s="18">
        <f>IF(B452="","",IF(M452="",IF(L452="Карантин",INT(TODAY())-B452,""),M452-B452))</f>
        <v/>
      </c>
      <c r="Q452" s="18">
        <f>IF(C452="","",IFERROR(INDEX(Справочники!$D$6:$D$45,MATCH(C452,Справочники!$A$6:$A$45,0)),""))</f>
        <v/>
      </c>
    </row>
    <row r="453">
      <c r="A453" s="18">
        <f>IF(B453="","",ROW()-5)</f>
        <v/>
      </c>
      <c r="B453" s="19" t="n"/>
      <c r="C453" s="20" t="n"/>
      <c r="D453" s="21">
        <f>IF(C453="","",IFERROR(INDEX(Справочники!$B$6:$B$45,MATCH(C453,Справочники!$A$6:$A$45,0)),"нет в справочнике"))</f>
        <v/>
      </c>
      <c r="E453" s="20" t="n"/>
      <c r="F453" s="20" t="n"/>
      <c r="G453" s="20" t="n"/>
      <c r="H453" s="20" t="n"/>
      <c r="I453" s="18">
        <f>IF(C453="","",IFERROR(INDEX(Справочники!$C$6:$C$45,MATCH(C453,Справочники!$A$6:$A$45,0)),""))</f>
        <v/>
      </c>
      <c r="J453" s="22">
        <f>IF(C453="","",IFERROR(INDEX(Справочники!$E$6:$E$45,MATCH(C453,Справочники!$A$6:$A$45,0)),""))</f>
        <v/>
      </c>
      <c r="K453" s="23" t="n"/>
      <c r="L453" s="20" t="n"/>
      <c r="M453" s="19" t="n"/>
      <c r="N453" s="20" t="n"/>
      <c r="O453" s="23" t="n"/>
      <c r="P453" s="18">
        <f>IF(B453="","",IF(M453="",IF(L453="Карантин",INT(TODAY())-B453,""),M453-B453))</f>
        <v/>
      </c>
      <c r="Q453" s="18">
        <f>IF(C453="","",IFERROR(INDEX(Справочники!$D$6:$D$45,MATCH(C453,Справочники!$A$6:$A$45,0)),""))</f>
        <v/>
      </c>
    </row>
    <row r="454">
      <c r="A454" s="18">
        <f>IF(B454="","",ROW()-5)</f>
        <v/>
      </c>
      <c r="B454" s="19" t="n"/>
      <c r="C454" s="20" t="n"/>
      <c r="D454" s="21">
        <f>IF(C454="","",IFERROR(INDEX(Справочники!$B$6:$B$45,MATCH(C454,Справочники!$A$6:$A$45,0)),"нет в справочнике"))</f>
        <v/>
      </c>
      <c r="E454" s="20" t="n"/>
      <c r="F454" s="20" t="n"/>
      <c r="G454" s="20" t="n"/>
      <c r="H454" s="20" t="n"/>
      <c r="I454" s="18">
        <f>IF(C454="","",IFERROR(INDEX(Справочники!$C$6:$C$45,MATCH(C454,Справочники!$A$6:$A$45,0)),""))</f>
        <v/>
      </c>
      <c r="J454" s="22">
        <f>IF(C454="","",IFERROR(INDEX(Справочники!$E$6:$E$45,MATCH(C454,Справочники!$A$6:$A$45,0)),""))</f>
        <v/>
      </c>
      <c r="K454" s="23" t="n"/>
      <c r="L454" s="20" t="n"/>
      <c r="M454" s="19" t="n"/>
      <c r="N454" s="20" t="n"/>
      <c r="O454" s="23" t="n"/>
      <c r="P454" s="18">
        <f>IF(B454="","",IF(M454="",IF(L454="Карантин",INT(TODAY())-B454,""),M454-B454))</f>
        <v/>
      </c>
      <c r="Q454" s="18">
        <f>IF(C454="","",IFERROR(INDEX(Справочники!$D$6:$D$45,MATCH(C454,Справочники!$A$6:$A$45,0)),""))</f>
        <v/>
      </c>
    </row>
    <row r="455">
      <c r="A455" s="18">
        <f>IF(B455="","",ROW()-5)</f>
        <v/>
      </c>
      <c r="B455" s="19" t="n"/>
      <c r="C455" s="20" t="n"/>
      <c r="D455" s="21">
        <f>IF(C455="","",IFERROR(INDEX(Справочники!$B$6:$B$45,MATCH(C455,Справочники!$A$6:$A$45,0)),"нет в справочнике"))</f>
        <v/>
      </c>
      <c r="E455" s="20" t="n"/>
      <c r="F455" s="20" t="n"/>
      <c r="G455" s="20" t="n"/>
      <c r="H455" s="20" t="n"/>
      <c r="I455" s="18">
        <f>IF(C455="","",IFERROR(INDEX(Справочники!$C$6:$C$45,MATCH(C455,Справочники!$A$6:$A$45,0)),""))</f>
        <v/>
      </c>
      <c r="J455" s="22">
        <f>IF(C455="","",IFERROR(INDEX(Справочники!$E$6:$E$45,MATCH(C455,Справочники!$A$6:$A$45,0)),""))</f>
        <v/>
      </c>
      <c r="K455" s="23" t="n"/>
      <c r="L455" s="20" t="n"/>
      <c r="M455" s="19" t="n"/>
      <c r="N455" s="20" t="n"/>
      <c r="O455" s="23" t="n"/>
      <c r="P455" s="18">
        <f>IF(B455="","",IF(M455="",IF(L455="Карантин",INT(TODAY())-B455,""),M455-B455))</f>
        <v/>
      </c>
      <c r="Q455" s="18">
        <f>IF(C455="","",IFERROR(INDEX(Справочники!$D$6:$D$45,MATCH(C455,Справочники!$A$6:$A$45,0)),""))</f>
        <v/>
      </c>
    </row>
    <row r="456">
      <c r="A456" s="18">
        <f>IF(B456="","",ROW()-5)</f>
        <v/>
      </c>
      <c r="B456" s="19" t="n"/>
      <c r="C456" s="20" t="n"/>
      <c r="D456" s="21">
        <f>IF(C456="","",IFERROR(INDEX(Справочники!$B$6:$B$45,MATCH(C456,Справочники!$A$6:$A$45,0)),"нет в справочнике"))</f>
        <v/>
      </c>
      <c r="E456" s="20" t="n"/>
      <c r="F456" s="20" t="n"/>
      <c r="G456" s="20" t="n"/>
      <c r="H456" s="20" t="n"/>
      <c r="I456" s="18">
        <f>IF(C456="","",IFERROR(INDEX(Справочники!$C$6:$C$45,MATCH(C456,Справочники!$A$6:$A$45,0)),""))</f>
        <v/>
      </c>
      <c r="J456" s="22">
        <f>IF(C456="","",IFERROR(INDEX(Справочники!$E$6:$E$45,MATCH(C456,Справочники!$A$6:$A$45,0)),""))</f>
        <v/>
      </c>
      <c r="K456" s="23" t="n"/>
      <c r="L456" s="20" t="n"/>
      <c r="M456" s="19" t="n"/>
      <c r="N456" s="20" t="n"/>
      <c r="O456" s="23" t="n"/>
      <c r="P456" s="18">
        <f>IF(B456="","",IF(M456="",IF(L456="Карантин",INT(TODAY())-B456,""),M456-B456))</f>
        <v/>
      </c>
      <c r="Q456" s="18">
        <f>IF(C456="","",IFERROR(INDEX(Справочники!$D$6:$D$45,MATCH(C456,Справочники!$A$6:$A$45,0)),""))</f>
        <v/>
      </c>
    </row>
    <row r="457">
      <c r="A457" s="18">
        <f>IF(B457="","",ROW()-5)</f>
        <v/>
      </c>
      <c r="B457" s="19" t="n"/>
      <c r="C457" s="20" t="n"/>
      <c r="D457" s="21">
        <f>IF(C457="","",IFERROR(INDEX(Справочники!$B$6:$B$45,MATCH(C457,Справочники!$A$6:$A$45,0)),"нет в справочнике"))</f>
        <v/>
      </c>
      <c r="E457" s="20" t="n"/>
      <c r="F457" s="20" t="n"/>
      <c r="G457" s="20" t="n"/>
      <c r="H457" s="20" t="n"/>
      <c r="I457" s="18">
        <f>IF(C457="","",IFERROR(INDEX(Справочники!$C$6:$C$45,MATCH(C457,Справочники!$A$6:$A$45,0)),""))</f>
        <v/>
      </c>
      <c r="J457" s="22">
        <f>IF(C457="","",IFERROR(INDEX(Справочники!$E$6:$E$45,MATCH(C457,Справочники!$A$6:$A$45,0)),""))</f>
        <v/>
      </c>
      <c r="K457" s="23" t="n"/>
      <c r="L457" s="20" t="n"/>
      <c r="M457" s="19" t="n"/>
      <c r="N457" s="20" t="n"/>
      <c r="O457" s="23" t="n"/>
      <c r="P457" s="18">
        <f>IF(B457="","",IF(M457="",IF(L457="Карантин",INT(TODAY())-B457,""),M457-B457))</f>
        <v/>
      </c>
      <c r="Q457" s="18">
        <f>IF(C457="","",IFERROR(INDEX(Справочники!$D$6:$D$45,MATCH(C457,Справочники!$A$6:$A$45,0)),""))</f>
        <v/>
      </c>
    </row>
    <row r="458">
      <c r="A458" s="18">
        <f>IF(B458="","",ROW()-5)</f>
        <v/>
      </c>
      <c r="B458" s="19" t="n"/>
      <c r="C458" s="20" t="n"/>
      <c r="D458" s="21">
        <f>IF(C458="","",IFERROR(INDEX(Справочники!$B$6:$B$45,MATCH(C458,Справочники!$A$6:$A$45,0)),"нет в справочнике"))</f>
        <v/>
      </c>
      <c r="E458" s="20" t="n"/>
      <c r="F458" s="20" t="n"/>
      <c r="G458" s="20" t="n"/>
      <c r="H458" s="20" t="n"/>
      <c r="I458" s="18">
        <f>IF(C458="","",IFERROR(INDEX(Справочники!$C$6:$C$45,MATCH(C458,Справочники!$A$6:$A$45,0)),""))</f>
        <v/>
      </c>
      <c r="J458" s="22">
        <f>IF(C458="","",IFERROR(INDEX(Справочники!$E$6:$E$45,MATCH(C458,Справочники!$A$6:$A$45,0)),""))</f>
        <v/>
      </c>
      <c r="K458" s="23" t="n"/>
      <c r="L458" s="20" t="n"/>
      <c r="M458" s="19" t="n"/>
      <c r="N458" s="20" t="n"/>
      <c r="O458" s="23" t="n"/>
      <c r="P458" s="18">
        <f>IF(B458="","",IF(M458="",IF(L458="Карантин",INT(TODAY())-B458,""),M458-B458))</f>
        <v/>
      </c>
      <c r="Q458" s="18">
        <f>IF(C458="","",IFERROR(INDEX(Справочники!$D$6:$D$45,MATCH(C458,Справочники!$A$6:$A$45,0)),""))</f>
        <v/>
      </c>
    </row>
    <row r="459">
      <c r="A459" s="18">
        <f>IF(B459="","",ROW()-5)</f>
        <v/>
      </c>
      <c r="B459" s="19" t="n"/>
      <c r="C459" s="20" t="n"/>
      <c r="D459" s="21">
        <f>IF(C459="","",IFERROR(INDEX(Справочники!$B$6:$B$45,MATCH(C459,Справочники!$A$6:$A$45,0)),"нет в справочнике"))</f>
        <v/>
      </c>
      <c r="E459" s="20" t="n"/>
      <c r="F459" s="20" t="n"/>
      <c r="G459" s="20" t="n"/>
      <c r="H459" s="20" t="n"/>
      <c r="I459" s="18">
        <f>IF(C459="","",IFERROR(INDEX(Справочники!$C$6:$C$45,MATCH(C459,Справочники!$A$6:$A$45,0)),""))</f>
        <v/>
      </c>
      <c r="J459" s="22">
        <f>IF(C459="","",IFERROR(INDEX(Справочники!$E$6:$E$45,MATCH(C459,Справочники!$A$6:$A$45,0)),""))</f>
        <v/>
      </c>
      <c r="K459" s="23" t="n"/>
      <c r="L459" s="20" t="n"/>
      <c r="M459" s="19" t="n"/>
      <c r="N459" s="20" t="n"/>
      <c r="O459" s="23" t="n"/>
      <c r="P459" s="18">
        <f>IF(B459="","",IF(M459="",IF(L459="Карантин",INT(TODAY())-B459,""),M459-B459))</f>
        <v/>
      </c>
      <c r="Q459" s="18">
        <f>IF(C459="","",IFERROR(INDEX(Справочники!$D$6:$D$45,MATCH(C459,Справочники!$A$6:$A$45,0)),""))</f>
        <v/>
      </c>
    </row>
    <row r="460">
      <c r="A460" s="18">
        <f>IF(B460="","",ROW()-5)</f>
        <v/>
      </c>
      <c r="B460" s="19" t="n"/>
      <c r="C460" s="20" t="n"/>
      <c r="D460" s="21">
        <f>IF(C460="","",IFERROR(INDEX(Справочники!$B$6:$B$45,MATCH(C460,Справочники!$A$6:$A$45,0)),"нет в справочнике"))</f>
        <v/>
      </c>
      <c r="E460" s="20" t="n"/>
      <c r="F460" s="20" t="n"/>
      <c r="G460" s="20" t="n"/>
      <c r="H460" s="20" t="n"/>
      <c r="I460" s="18">
        <f>IF(C460="","",IFERROR(INDEX(Справочники!$C$6:$C$45,MATCH(C460,Справочники!$A$6:$A$45,0)),""))</f>
        <v/>
      </c>
      <c r="J460" s="22">
        <f>IF(C460="","",IFERROR(INDEX(Справочники!$E$6:$E$45,MATCH(C460,Справочники!$A$6:$A$45,0)),""))</f>
        <v/>
      </c>
      <c r="K460" s="23" t="n"/>
      <c r="L460" s="20" t="n"/>
      <c r="M460" s="19" t="n"/>
      <c r="N460" s="20" t="n"/>
      <c r="O460" s="23" t="n"/>
      <c r="P460" s="18">
        <f>IF(B460="","",IF(M460="",IF(L460="Карантин",INT(TODAY())-B460,""),M460-B460))</f>
        <v/>
      </c>
      <c r="Q460" s="18">
        <f>IF(C460="","",IFERROR(INDEX(Справочники!$D$6:$D$45,MATCH(C460,Справочники!$A$6:$A$45,0)),""))</f>
        <v/>
      </c>
    </row>
    <row r="461">
      <c r="A461" s="18">
        <f>IF(B461="","",ROW()-5)</f>
        <v/>
      </c>
      <c r="B461" s="19" t="n"/>
      <c r="C461" s="20" t="n"/>
      <c r="D461" s="21">
        <f>IF(C461="","",IFERROR(INDEX(Справочники!$B$6:$B$45,MATCH(C461,Справочники!$A$6:$A$45,0)),"нет в справочнике"))</f>
        <v/>
      </c>
      <c r="E461" s="20" t="n"/>
      <c r="F461" s="20" t="n"/>
      <c r="G461" s="20" t="n"/>
      <c r="H461" s="20" t="n"/>
      <c r="I461" s="18">
        <f>IF(C461="","",IFERROR(INDEX(Справочники!$C$6:$C$45,MATCH(C461,Справочники!$A$6:$A$45,0)),""))</f>
        <v/>
      </c>
      <c r="J461" s="22">
        <f>IF(C461="","",IFERROR(INDEX(Справочники!$E$6:$E$45,MATCH(C461,Справочники!$A$6:$A$45,0)),""))</f>
        <v/>
      </c>
      <c r="K461" s="23" t="n"/>
      <c r="L461" s="20" t="n"/>
      <c r="M461" s="19" t="n"/>
      <c r="N461" s="20" t="n"/>
      <c r="O461" s="23" t="n"/>
      <c r="P461" s="18">
        <f>IF(B461="","",IF(M461="",IF(L461="Карантин",INT(TODAY())-B461,""),M461-B461))</f>
        <v/>
      </c>
      <c r="Q461" s="18">
        <f>IF(C461="","",IFERROR(INDEX(Справочники!$D$6:$D$45,MATCH(C461,Справочники!$A$6:$A$45,0)),""))</f>
        <v/>
      </c>
    </row>
    <row r="462">
      <c r="A462" s="18">
        <f>IF(B462="","",ROW()-5)</f>
        <v/>
      </c>
      <c r="B462" s="19" t="n"/>
      <c r="C462" s="20" t="n"/>
      <c r="D462" s="21">
        <f>IF(C462="","",IFERROR(INDEX(Справочники!$B$6:$B$45,MATCH(C462,Справочники!$A$6:$A$45,0)),"нет в справочнике"))</f>
        <v/>
      </c>
      <c r="E462" s="20" t="n"/>
      <c r="F462" s="20" t="n"/>
      <c r="G462" s="20" t="n"/>
      <c r="H462" s="20" t="n"/>
      <c r="I462" s="18">
        <f>IF(C462="","",IFERROR(INDEX(Справочники!$C$6:$C$45,MATCH(C462,Справочники!$A$6:$A$45,0)),""))</f>
        <v/>
      </c>
      <c r="J462" s="22">
        <f>IF(C462="","",IFERROR(INDEX(Справочники!$E$6:$E$45,MATCH(C462,Справочники!$A$6:$A$45,0)),""))</f>
        <v/>
      </c>
      <c r="K462" s="23" t="n"/>
      <c r="L462" s="20" t="n"/>
      <c r="M462" s="19" t="n"/>
      <c r="N462" s="20" t="n"/>
      <c r="O462" s="23" t="n"/>
      <c r="P462" s="18">
        <f>IF(B462="","",IF(M462="",IF(L462="Карантин",INT(TODAY())-B462,""),M462-B462))</f>
        <v/>
      </c>
      <c r="Q462" s="18">
        <f>IF(C462="","",IFERROR(INDEX(Справочники!$D$6:$D$45,MATCH(C462,Справочники!$A$6:$A$45,0)),""))</f>
        <v/>
      </c>
    </row>
    <row r="463">
      <c r="A463" s="18">
        <f>IF(B463="","",ROW()-5)</f>
        <v/>
      </c>
      <c r="B463" s="19" t="n"/>
      <c r="C463" s="20" t="n"/>
      <c r="D463" s="21">
        <f>IF(C463="","",IFERROR(INDEX(Справочники!$B$6:$B$45,MATCH(C463,Справочники!$A$6:$A$45,0)),"нет в справочнике"))</f>
        <v/>
      </c>
      <c r="E463" s="20" t="n"/>
      <c r="F463" s="20" t="n"/>
      <c r="G463" s="20" t="n"/>
      <c r="H463" s="20" t="n"/>
      <c r="I463" s="18">
        <f>IF(C463="","",IFERROR(INDEX(Справочники!$C$6:$C$45,MATCH(C463,Справочники!$A$6:$A$45,0)),""))</f>
        <v/>
      </c>
      <c r="J463" s="22">
        <f>IF(C463="","",IFERROR(INDEX(Справочники!$E$6:$E$45,MATCH(C463,Справочники!$A$6:$A$45,0)),""))</f>
        <v/>
      </c>
      <c r="K463" s="23" t="n"/>
      <c r="L463" s="20" t="n"/>
      <c r="M463" s="19" t="n"/>
      <c r="N463" s="20" t="n"/>
      <c r="O463" s="23" t="n"/>
      <c r="P463" s="18">
        <f>IF(B463="","",IF(M463="",IF(L463="Карантин",INT(TODAY())-B463,""),M463-B463))</f>
        <v/>
      </c>
      <c r="Q463" s="18">
        <f>IF(C463="","",IFERROR(INDEX(Справочники!$D$6:$D$45,MATCH(C463,Справочники!$A$6:$A$45,0)),""))</f>
        <v/>
      </c>
    </row>
    <row r="464">
      <c r="A464" s="18">
        <f>IF(B464="","",ROW()-5)</f>
        <v/>
      </c>
      <c r="B464" s="19" t="n"/>
      <c r="C464" s="20" t="n"/>
      <c r="D464" s="21">
        <f>IF(C464="","",IFERROR(INDEX(Справочники!$B$6:$B$45,MATCH(C464,Справочники!$A$6:$A$45,0)),"нет в справочнике"))</f>
        <v/>
      </c>
      <c r="E464" s="20" t="n"/>
      <c r="F464" s="20" t="n"/>
      <c r="G464" s="20" t="n"/>
      <c r="H464" s="20" t="n"/>
      <c r="I464" s="18">
        <f>IF(C464="","",IFERROR(INDEX(Справочники!$C$6:$C$45,MATCH(C464,Справочники!$A$6:$A$45,0)),""))</f>
        <v/>
      </c>
      <c r="J464" s="22">
        <f>IF(C464="","",IFERROR(INDEX(Справочники!$E$6:$E$45,MATCH(C464,Справочники!$A$6:$A$45,0)),""))</f>
        <v/>
      </c>
      <c r="K464" s="23" t="n"/>
      <c r="L464" s="20" t="n"/>
      <c r="M464" s="19" t="n"/>
      <c r="N464" s="20" t="n"/>
      <c r="O464" s="23" t="n"/>
      <c r="P464" s="18">
        <f>IF(B464="","",IF(M464="",IF(L464="Карантин",INT(TODAY())-B464,""),M464-B464))</f>
        <v/>
      </c>
      <c r="Q464" s="18">
        <f>IF(C464="","",IFERROR(INDEX(Справочники!$D$6:$D$45,MATCH(C464,Справочники!$A$6:$A$45,0)),""))</f>
        <v/>
      </c>
    </row>
    <row r="465">
      <c r="A465" s="18">
        <f>IF(B465="","",ROW()-5)</f>
        <v/>
      </c>
      <c r="B465" s="19" t="n"/>
      <c r="C465" s="20" t="n"/>
      <c r="D465" s="21">
        <f>IF(C465="","",IFERROR(INDEX(Справочники!$B$6:$B$45,MATCH(C465,Справочники!$A$6:$A$45,0)),"нет в справочнике"))</f>
        <v/>
      </c>
      <c r="E465" s="20" t="n"/>
      <c r="F465" s="20" t="n"/>
      <c r="G465" s="20" t="n"/>
      <c r="H465" s="20" t="n"/>
      <c r="I465" s="18">
        <f>IF(C465="","",IFERROR(INDEX(Справочники!$C$6:$C$45,MATCH(C465,Справочники!$A$6:$A$45,0)),""))</f>
        <v/>
      </c>
      <c r="J465" s="22">
        <f>IF(C465="","",IFERROR(INDEX(Справочники!$E$6:$E$45,MATCH(C465,Справочники!$A$6:$A$45,0)),""))</f>
        <v/>
      </c>
      <c r="K465" s="23" t="n"/>
      <c r="L465" s="20" t="n"/>
      <c r="M465" s="19" t="n"/>
      <c r="N465" s="20" t="n"/>
      <c r="O465" s="23" t="n"/>
      <c r="P465" s="18">
        <f>IF(B465="","",IF(M465="",IF(L465="Карантин",INT(TODAY())-B465,""),M465-B465))</f>
        <v/>
      </c>
      <c r="Q465" s="18">
        <f>IF(C465="","",IFERROR(INDEX(Справочники!$D$6:$D$45,MATCH(C465,Справочники!$A$6:$A$45,0)),""))</f>
        <v/>
      </c>
    </row>
    <row r="466">
      <c r="A466" s="18">
        <f>IF(B466="","",ROW()-5)</f>
        <v/>
      </c>
      <c r="B466" s="19" t="n"/>
      <c r="C466" s="20" t="n"/>
      <c r="D466" s="21">
        <f>IF(C466="","",IFERROR(INDEX(Справочники!$B$6:$B$45,MATCH(C466,Справочники!$A$6:$A$45,0)),"нет в справочнике"))</f>
        <v/>
      </c>
      <c r="E466" s="20" t="n"/>
      <c r="F466" s="20" t="n"/>
      <c r="G466" s="20" t="n"/>
      <c r="H466" s="20" t="n"/>
      <c r="I466" s="18">
        <f>IF(C466="","",IFERROR(INDEX(Справочники!$C$6:$C$45,MATCH(C466,Справочники!$A$6:$A$45,0)),""))</f>
        <v/>
      </c>
      <c r="J466" s="22">
        <f>IF(C466="","",IFERROR(INDEX(Справочники!$E$6:$E$45,MATCH(C466,Справочники!$A$6:$A$45,0)),""))</f>
        <v/>
      </c>
      <c r="K466" s="23" t="n"/>
      <c r="L466" s="20" t="n"/>
      <c r="M466" s="19" t="n"/>
      <c r="N466" s="20" t="n"/>
      <c r="O466" s="23" t="n"/>
      <c r="P466" s="18">
        <f>IF(B466="","",IF(M466="",IF(L466="Карантин",INT(TODAY())-B466,""),M466-B466))</f>
        <v/>
      </c>
      <c r="Q466" s="18">
        <f>IF(C466="","",IFERROR(INDEX(Справочники!$D$6:$D$45,MATCH(C466,Справочники!$A$6:$A$45,0)),""))</f>
        <v/>
      </c>
    </row>
    <row r="467">
      <c r="A467" s="18">
        <f>IF(B467="","",ROW()-5)</f>
        <v/>
      </c>
      <c r="B467" s="19" t="n"/>
      <c r="C467" s="20" t="n"/>
      <c r="D467" s="21">
        <f>IF(C467="","",IFERROR(INDEX(Справочники!$B$6:$B$45,MATCH(C467,Справочники!$A$6:$A$45,0)),"нет в справочнике"))</f>
        <v/>
      </c>
      <c r="E467" s="20" t="n"/>
      <c r="F467" s="20" t="n"/>
      <c r="G467" s="20" t="n"/>
      <c r="H467" s="20" t="n"/>
      <c r="I467" s="18">
        <f>IF(C467="","",IFERROR(INDEX(Справочники!$C$6:$C$45,MATCH(C467,Справочники!$A$6:$A$45,0)),""))</f>
        <v/>
      </c>
      <c r="J467" s="22">
        <f>IF(C467="","",IFERROR(INDEX(Справочники!$E$6:$E$45,MATCH(C467,Справочники!$A$6:$A$45,0)),""))</f>
        <v/>
      </c>
      <c r="K467" s="23" t="n"/>
      <c r="L467" s="20" t="n"/>
      <c r="M467" s="19" t="n"/>
      <c r="N467" s="20" t="n"/>
      <c r="O467" s="23" t="n"/>
      <c r="P467" s="18">
        <f>IF(B467="","",IF(M467="",IF(L467="Карантин",INT(TODAY())-B467,""),M467-B467))</f>
        <v/>
      </c>
      <c r="Q467" s="18">
        <f>IF(C467="","",IFERROR(INDEX(Справочники!$D$6:$D$45,MATCH(C467,Справочники!$A$6:$A$45,0)),""))</f>
        <v/>
      </c>
    </row>
    <row r="468">
      <c r="A468" s="18">
        <f>IF(B468="","",ROW()-5)</f>
        <v/>
      </c>
      <c r="B468" s="19" t="n"/>
      <c r="C468" s="20" t="n"/>
      <c r="D468" s="21">
        <f>IF(C468="","",IFERROR(INDEX(Справочники!$B$6:$B$45,MATCH(C468,Справочники!$A$6:$A$45,0)),"нет в справочнике"))</f>
        <v/>
      </c>
      <c r="E468" s="20" t="n"/>
      <c r="F468" s="20" t="n"/>
      <c r="G468" s="20" t="n"/>
      <c r="H468" s="20" t="n"/>
      <c r="I468" s="18">
        <f>IF(C468="","",IFERROR(INDEX(Справочники!$C$6:$C$45,MATCH(C468,Справочники!$A$6:$A$45,0)),""))</f>
        <v/>
      </c>
      <c r="J468" s="22">
        <f>IF(C468="","",IFERROR(INDEX(Справочники!$E$6:$E$45,MATCH(C468,Справочники!$A$6:$A$45,0)),""))</f>
        <v/>
      </c>
      <c r="K468" s="23" t="n"/>
      <c r="L468" s="20" t="n"/>
      <c r="M468" s="19" t="n"/>
      <c r="N468" s="20" t="n"/>
      <c r="O468" s="23" t="n"/>
      <c r="P468" s="18">
        <f>IF(B468="","",IF(M468="",IF(L468="Карантин",INT(TODAY())-B468,""),M468-B468))</f>
        <v/>
      </c>
      <c r="Q468" s="18">
        <f>IF(C468="","",IFERROR(INDEX(Справочники!$D$6:$D$45,MATCH(C468,Справочники!$A$6:$A$45,0)),""))</f>
        <v/>
      </c>
    </row>
    <row r="469">
      <c r="A469" s="18">
        <f>IF(B469="","",ROW()-5)</f>
        <v/>
      </c>
      <c r="B469" s="19" t="n"/>
      <c r="C469" s="20" t="n"/>
      <c r="D469" s="21">
        <f>IF(C469="","",IFERROR(INDEX(Справочники!$B$6:$B$45,MATCH(C469,Справочники!$A$6:$A$45,0)),"нет в справочнике"))</f>
        <v/>
      </c>
      <c r="E469" s="20" t="n"/>
      <c r="F469" s="20" t="n"/>
      <c r="G469" s="20" t="n"/>
      <c r="H469" s="20" t="n"/>
      <c r="I469" s="18">
        <f>IF(C469="","",IFERROR(INDEX(Справочники!$C$6:$C$45,MATCH(C469,Справочники!$A$6:$A$45,0)),""))</f>
        <v/>
      </c>
      <c r="J469" s="22">
        <f>IF(C469="","",IFERROR(INDEX(Справочники!$E$6:$E$45,MATCH(C469,Справочники!$A$6:$A$45,0)),""))</f>
        <v/>
      </c>
      <c r="K469" s="23" t="n"/>
      <c r="L469" s="20" t="n"/>
      <c r="M469" s="19" t="n"/>
      <c r="N469" s="20" t="n"/>
      <c r="O469" s="23" t="n"/>
      <c r="P469" s="18">
        <f>IF(B469="","",IF(M469="",IF(L469="Карантин",INT(TODAY())-B469,""),M469-B469))</f>
        <v/>
      </c>
      <c r="Q469" s="18">
        <f>IF(C469="","",IFERROR(INDEX(Справочники!$D$6:$D$45,MATCH(C469,Справочники!$A$6:$A$45,0)),""))</f>
        <v/>
      </c>
    </row>
    <row r="470">
      <c r="A470" s="18">
        <f>IF(B470="","",ROW()-5)</f>
        <v/>
      </c>
      <c r="B470" s="19" t="n"/>
      <c r="C470" s="20" t="n"/>
      <c r="D470" s="21">
        <f>IF(C470="","",IFERROR(INDEX(Справочники!$B$6:$B$45,MATCH(C470,Справочники!$A$6:$A$45,0)),"нет в справочнике"))</f>
        <v/>
      </c>
      <c r="E470" s="20" t="n"/>
      <c r="F470" s="20" t="n"/>
      <c r="G470" s="20" t="n"/>
      <c r="H470" s="20" t="n"/>
      <c r="I470" s="18">
        <f>IF(C470="","",IFERROR(INDEX(Справочники!$C$6:$C$45,MATCH(C470,Справочники!$A$6:$A$45,0)),""))</f>
        <v/>
      </c>
      <c r="J470" s="22">
        <f>IF(C470="","",IFERROR(INDEX(Справочники!$E$6:$E$45,MATCH(C470,Справочники!$A$6:$A$45,0)),""))</f>
        <v/>
      </c>
      <c r="K470" s="23" t="n"/>
      <c r="L470" s="20" t="n"/>
      <c r="M470" s="19" t="n"/>
      <c r="N470" s="20" t="n"/>
      <c r="O470" s="23" t="n"/>
      <c r="P470" s="18">
        <f>IF(B470="","",IF(M470="",IF(L470="Карантин",INT(TODAY())-B470,""),M470-B470))</f>
        <v/>
      </c>
      <c r="Q470" s="18">
        <f>IF(C470="","",IFERROR(INDEX(Справочники!$D$6:$D$45,MATCH(C470,Справочники!$A$6:$A$45,0)),""))</f>
        <v/>
      </c>
    </row>
    <row r="471">
      <c r="A471" s="18">
        <f>IF(B471="","",ROW()-5)</f>
        <v/>
      </c>
      <c r="B471" s="19" t="n"/>
      <c r="C471" s="20" t="n"/>
      <c r="D471" s="21">
        <f>IF(C471="","",IFERROR(INDEX(Справочники!$B$6:$B$45,MATCH(C471,Справочники!$A$6:$A$45,0)),"нет в справочнике"))</f>
        <v/>
      </c>
      <c r="E471" s="20" t="n"/>
      <c r="F471" s="20" t="n"/>
      <c r="G471" s="20" t="n"/>
      <c r="H471" s="20" t="n"/>
      <c r="I471" s="18">
        <f>IF(C471="","",IFERROR(INDEX(Справочники!$C$6:$C$45,MATCH(C471,Справочники!$A$6:$A$45,0)),""))</f>
        <v/>
      </c>
      <c r="J471" s="22">
        <f>IF(C471="","",IFERROR(INDEX(Справочники!$E$6:$E$45,MATCH(C471,Справочники!$A$6:$A$45,0)),""))</f>
        <v/>
      </c>
      <c r="K471" s="23" t="n"/>
      <c r="L471" s="20" t="n"/>
      <c r="M471" s="19" t="n"/>
      <c r="N471" s="20" t="n"/>
      <c r="O471" s="23" t="n"/>
      <c r="P471" s="18">
        <f>IF(B471="","",IF(M471="",IF(L471="Карантин",INT(TODAY())-B471,""),M471-B471))</f>
        <v/>
      </c>
      <c r="Q471" s="18">
        <f>IF(C471="","",IFERROR(INDEX(Справочники!$D$6:$D$45,MATCH(C471,Справочники!$A$6:$A$45,0)),""))</f>
        <v/>
      </c>
    </row>
    <row r="472">
      <c r="A472" s="18">
        <f>IF(B472="","",ROW()-5)</f>
        <v/>
      </c>
      <c r="B472" s="19" t="n"/>
      <c r="C472" s="20" t="n"/>
      <c r="D472" s="21">
        <f>IF(C472="","",IFERROR(INDEX(Справочники!$B$6:$B$45,MATCH(C472,Справочники!$A$6:$A$45,0)),"нет в справочнике"))</f>
        <v/>
      </c>
      <c r="E472" s="20" t="n"/>
      <c r="F472" s="20" t="n"/>
      <c r="G472" s="20" t="n"/>
      <c r="H472" s="20" t="n"/>
      <c r="I472" s="18">
        <f>IF(C472="","",IFERROR(INDEX(Справочники!$C$6:$C$45,MATCH(C472,Справочники!$A$6:$A$45,0)),""))</f>
        <v/>
      </c>
      <c r="J472" s="22">
        <f>IF(C472="","",IFERROR(INDEX(Справочники!$E$6:$E$45,MATCH(C472,Справочники!$A$6:$A$45,0)),""))</f>
        <v/>
      </c>
      <c r="K472" s="23" t="n"/>
      <c r="L472" s="20" t="n"/>
      <c r="M472" s="19" t="n"/>
      <c r="N472" s="20" t="n"/>
      <c r="O472" s="23" t="n"/>
      <c r="P472" s="18">
        <f>IF(B472="","",IF(M472="",IF(L472="Карантин",INT(TODAY())-B472,""),M472-B472))</f>
        <v/>
      </c>
      <c r="Q472" s="18">
        <f>IF(C472="","",IFERROR(INDEX(Справочники!$D$6:$D$45,MATCH(C472,Справочники!$A$6:$A$45,0)),""))</f>
        <v/>
      </c>
    </row>
    <row r="473">
      <c r="A473" s="18">
        <f>IF(B473="","",ROW()-5)</f>
        <v/>
      </c>
      <c r="B473" s="19" t="n"/>
      <c r="C473" s="20" t="n"/>
      <c r="D473" s="21">
        <f>IF(C473="","",IFERROR(INDEX(Справочники!$B$6:$B$45,MATCH(C473,Справочники!$A$6:$A$45,0)),"нет в справочнике"))</f>
        <v/>
      </c>
      <c r="E473" s="20" t="n"/>
      <c r="F473" s="20" t="n"/>
      <c r="G473" s="20" t="n"/>
      <c r="H473" s="20" t="n"/>
      <c r="I473" s="18">
        <f>IF(C473="","",IFERROR(INDEX(Справочники!$C$6:$C$45,MATCH(C473,Справочники!$A$6:$A$45,0)),""))</f>
        <v/>
      </c>
      <c r="J473" s="22">
        <f>IF(C473="","",IFERROR(INDEX(Справочники!$E$6:$E$45,MATCH(C473,Справочники!$A$6:$A$45,0)),""))</f>
        <v/>
      </c>
      <c r="K473" s="23" t="n"/>
      <c r="L473" s="20" t="n"/>
      <c r="M473" s="19" t="n"/>
      <c r="N473" s="20" t="n"/>
      <c r="O473" s="23" t="n"/>
      <c r="P473" s="18">
        <f>IF(B473="","",IF(M473="",IF(L473="Карантин",INT(TODAY())-B473,""),M473-B473))</f>
        <v/>
      </c>
      <c r="Q473" s="18">
        <f>IF(C473="","",IFERROR(INDEX(Справочники!$D$6:$D$45,MATCH(C473,Справочники!$A$6:$A$45,0)),""))</f>
        <v/>
      </c>
    </row>
    <row r="474">
      <c r="A474" s="18">
        <f>IF(B474="","",ROW()-5)</f>
        <v/>
      </c>
      <c r="B474" s="19" t="n"/>
      <c r="C474" s="20" t="n"/>
      <c r="D474" s="21">
        <f>IF(C474="","",IFERROR(INDEX(Справочники!$B$6:$B$45,MATCH(C474,Справочники!$A$6:$A$45,0)),"нет в справочнике"))</f>
        <v/>
      </c>
      <c r="E474" s="20" t="n"/>
      <c r="F474" s="20" t="n"/>
      <c r="G474" s="20" t="n"/>
      <c r="H474" s="20" t="n"/>
      <c r="I474" s="18">
        <f>IF(C474="","",IFERROR(INDEX(Справочники!$C$6:$C$45,MATCH(C474,Справочники!$A$6:$A$45,0)),""))</f>
        <v/>
      </c>
      <c r="J474" s="22">
        <f>IF(C474="","",IFERROR(INDEX(Справочники!$E$6:$E$45,MATCH(C474,Справочники!$A$6:$A$45,0)),""))</f>
        <v/>
      </c>
      <c r="K474" s="23" t="n"/>
      <c r="L474" s="20" t="n"/>
      <c r="M474" s="19" t="n"/>
      <c r="N474" s="20" t="n"/>
      <c r="O474" s="23" t="n"/>
      <c r="P474" s="18">
        <f>IF(B474="","",IF(M474="",IF(L474="Карантин",INT(TODAY())-B474,""),M474-B474))</f>
        <v/>
      </c>
      <c r="Q474" s="18">
        <f>IF(C474="","",IFERROR(INDEX(Справочники!$D$6:$D$45,MATCH(C474,Справочники!$A$6:$A$45,0)),""))</f>
        <v/>
      </c>
    </row>
    <row r="475">
      <c r="A475" s="18">
        <f>IF(B475="","",ROW()-5)</f>
        <v/>
      </c>
      <c r="B475" s="19" t="n"/>
      <c r="C475" s="20" t="n"/>
      <c r="D475" s="21">
        <f>IF(C475="","",IFERROR(INDEX(Справочники!$B$6:$B$45,MATCH(C475,Справочники!$A$6:$A$45,0)),"нет в справочнике"))</f>
        <v/>
      </c>
      <c r="E475" s="20" t="n"/>
      <c r="F475" s="20" t="n"/>
      <c r="G475" s="20" t="n"/>
      <c r="H475" s="20" t="n"/>
      <c r="I475" s="18">
        <f>IF(C475="","",IFERROR(INDEX(Справочники!$C$6:$C$45,MATCH(C475,Справочники!$A$6:$A$45,0)),""))</f>
        <v/>
      </c>
      <c r="J475" s="22">
        <f>IF(C475="","",IFERROR(INDEX(Справочники!$E$6:$E$45,MATCH(C475,Справочники!$A$6:$A$45,0)),""))</f>
        <v/>
      </c>
      <c r="K475" s="23" t="n"/>
      <c r="L475" s="20" t="n"/>
      <c r="M475" s="19" t="n"/>
      <c r="N475" s="20" t="n"/>
      <c r="O475" s="23" t="n"/>
      <c r="P475" s="18">
        <f>IF(B475="","",IF(M475="",IF(L475="Карантин",INT(TODAY())-B475,""),M475-B475))</f>
        <v/>
      </c>
      <c r="Q475" s="18">
        <f>IF(C475="","",IFERROR(INDEX(Справочники!$D$6:$D$45,MATCH(C475,Справочники!$A$6:$A$45,0)),""))</f>
        <v/>
      </c>
    </row>
    <row r="476">
      <c r="A476" s="18">
        <f>IF(B476="","",ROW()-5)</f>
        <v/>
      </c>
      <c r="B476" s="19" t="n"/>
      <c r="C476" s="20" t="n"/>
      <c r="D476" s="21">
        <f>IF(C476="","",IFERROR(INDEX(Справочники!$B$6:$B$45,MATCH(C476,Справочники!$A$6:$A$45,0)),"нет в справочнике"))</f>
        <v/>
      </c>
      <c r="E476" s="20" t="n"/>
      <c r="F476" s="20" t="n"/>
      <c r="G476" s="20" t="n"/>
      <c r="H476" s="20" t="n"/>
      <c r="I476" s="18">
        <f>IF(C476="","",IFERROR(INDEX(Справочники!$C$6:$C$45,MATCH(C476,Справочники!$A$6:$A$45,0)),""))</f>
        <v/>
      </c>
      <c r="J476" s="22">
        <f>IF(C476="","",IFERROR(INDEX(Справочники!$E$6:$E$45,MATCH(C476,Справочники!$A$6:$A$45,0)),""))</f>
        <v/>
      </c>
      <c r="K476" s="23" t="n"/>
      <c r="L476" s="20" t="n"/>
      <c r="M476" s="19" t="n"/>
      <c r="N476" s="20" t="n"/>
      <c r="O476" s="23" t="n"/>
      <c r="P476" s="18">
        <f>IF(B476="","",IF(M476="",IF(L476="Карантин",INT(TODAY())-B476,""),M476-B476))</f>
        <v/>
      </c>
      <c r="Q476" s="18">
        <f>IF(C476="","",IFERROR(INDEX(Справочники!$D$6:$D$45,MATCH(C476,Справочники!$A$6:$A$45,0)),""))</f>
        <v/>
      </c>
    </row>
    <row r="477">
      <c r="A477" s="18">
        <f>IF(B477="","",ROW()-5)</f>
        <v/>
      </c>
      <c r="B477" s="19" t="n"/>
      <c r="C477" s="20" t="n"/>
      <c r="D477" s="21">
        <f>IF(C477="","",IFERROR(INDEX(Справочники!$B$6:$B$45,MATCH(C477,Справочники!$A$6:$A$45,0)),"нет в справочнике"))</f>
        <v/>
      </c>
      <c r="E477" s="20" t="n"/>
      <c r="F477" s="20" t="n"/>
      <c r="G477" s="20" t="n"/>
      <c r="H477" s="20" t="n"/>
      <c r="I477" s="18">
        <f>IF(C477="","",IFERROR(INDEX(Справочники!$C$6:$C$45,MATCH(C477,Справочники!$A$6:$A$45,0)),""))</f>
        <v/>
      </c>
      <c r="J477" s="22">
        <f>IF(C477="","",IFERROR(INDEX(Справочники!$E$6:$E$45,MATCH(C477,Справочники!$A$6:$A$45,0)),""))</f>
        <v/>
      </c>
      <c r="K477" s="23" t="n"/>
      <c r="L477" s="20" t="n"/>
      <c r="M477" s="19" t="n"/>
      <c r="N477" s="20" t="n"/>
      <c r="O477" s="23" t="n"/>
      <c r="P477" s="18">
        <f>IF(B477="","",IF(M477="",IF(L477="Карантин",INT(TODAY())-B477,""),M477-B477))</f>
        <v/>
      </c>
      <c r="Q477" s="18">
        <f>IF(C477="","",IFERROR(INDEX(Справочники!$D$6:$D$45,MATCH(C477,Справочники!$A$6:$A$45,0)),""))</f>
        <v/>
      </c>
    </row>
    <row r="478">
      <c r="A478" s="18">
        <f>IF(B478="","",ROW()-5)</f>
        <v/>
      </c>
      <c r="B478" s="19" t="n"/>
      <c r="C478" s="20" t="n"/>
      <c r="D478" s="21">
        <f>IF(C478="","",IFERROR(INDEX(Справочники!$B$6:$B$45,MATCH(C478,Справочники!$A$6:$A$45,0)),"нет в справочнике"))</f>
        <v/>
      </c>
      <c r="E478" s="20" t="n"/>
      <c r="F478" s="20" t="n"/>
      <c r="G478" s="20" t="n"/>
      <c r="H478" s="20" t="n"/>
      <c r="I478" s="18">
        <f>IF(C478="","",IFERROR(INDEX(Справочники!$C$6:$C$45,MATCH(C478,Справочники!$A$6:$A$45,0)),""))</f>
        <v/>
      </c>
      <c r="J478" s="22">
        <f>IF(C478="","",IFERROR(INDEX(Справочники!$E$6:$E$45,MATCH(C478,Справочники!$A$6:$A$45,0)),""))</f>
        <v/>
      </c>
      <c r="K478" s="23" t="n"/>
      <c r="L478" s="20" t="n"/>
      <c r="M478" s="19" t="n"/>
      <c r="N478" s="20" t="n"/>
      <c r="O478" s="23" t="n"/>
      <c r="P478" s="18">
        <f>IF(B478="","",IF(M478="",IF(L478="Карантин",INT(TODAY())-B478,""),M478-B478))</f>
        <v/>
      </c>
      <c r="Q478" s="18">
        <f>IF(C478="","",IFERROR(INDEX(Справочники!$D$6:$D$45,MATCH(C478,Справочники!$A$6:$A$45,0)),""))</f>
        <v/>
      </c>
    </row>
    <row r="479">
      <c r="A479" s="18">
        <f>IF(B479="","",ROW()-5)</f>
        <v/>
      </c>
      <c r="B479" s="19" t="n"/>
      <c r="C479" s="20" t="n"/>
      <c r="D479" s="21">
        <f>IF(C479="","",IFERROR(INDEX(Справочники!$B$6:$B$45,MATCH(C479,Справочники!$A$6:$A$45,0)),"нет в справочнике"))</f>
        <v/>
      </c>
      <c r="E479" s="20" t="n"/>
      <c r="F479" s="20" t="n"/>
      <c r="G479" s="20" t="n"/>
      <c r="H479" s="20" t="n"/>
      <c r="I479" s="18">
        <f>IF(C479="","",IFERROR(INDEX(Справочники!$C$6:$C$45,MATCH(C479,Справочники!$A$6:$A$45,0)),""))</f>
        <v/>
      </c>
      <c r="J479" s="22">
        <f>IF(C479="","",IFERROR(INDEX(Справочники!$E$6:$E$45,MATCH(C479,Справочники!$A$6:$A$45,0)),""))</f>
        <v/>
      </c>
      <c r="K479" s="23" t="n"/>
      <c r="L479" s="20" t="n"/>
      <c r="M479" s="19" t="n"/>
      <c r="N479" s="20" t="n"/>
      <c r="O479" s="23" t="n"/>
      <c r="P479" s="18">
        <f>IF(B479="","",IF(M479="",IF(L479="Карантин",INT(TODAY())-B479,""),M479-B479))</f>
        <v/>
      </c>
      <c r="Q479" s="18">
        <f>IF(C479="","",IFERROR(INDEX(Справочники!$D$6:$D$45,MATCH(C479,Справочники!$A$6:$A$45,0)),""))</f>
        <v/>
      </c>
    </row>
    <row r="480">
      <c r="A480" s="18">
        <f>IF(B480="","",ROW()-5)</f>
        <v/>
      </c>
      <c r="B480" s="19" t="n"/>
      <c r="C480" s="20" t="n"/>
      <c r="D480" s="21">
        <f>IF(C480="","",IFERROR(INDEX(Справочники!$B$6:$B$45,MATCH(C480,Справочники!$A$6:$A$45,0)),"нет в справочнике"))</f>
        <v/>
      </c>
      <c r="E480" s="20" t="n"/>
      <c r="F480" s="20" t="n"/>
      <c r="G480" s="20" t="n"/>
      <c r="H480" s="20" t="n"/>
      <c r="I480" s="18">
        <f>IF(C480="","",IFERROR(INDEX(Справочники!$C$6:$C$45,MATCH(C480,Справочники!$A$6:$A$45,0)),""))</f>
        <v/>
      </c>
      <c r="J480" s="22">
        <f>IF(C480="","",IFERROR(INDEX(Справочники!$E$6:$E$45,MATCH(C480,Справочники!$A$6:$A$45,0)),""))</f>
        <v/>
      </c>
      <c r="K480" s="23" t="n"/>
      <c r="L480" s="20" t="n"/>
      <c r="M480" s="19" t="n"/>
      <c r="N480" s="20" t="n"/>
      <c r="O480" s="23" t="n"/>
      <c r="P480" s="18">
        <f>IF(B480="","",IF(M480="",IF(L480="Карантин",INT(TODAY())-B480,""),M480-B480))</f>
        <v/>
      </c>
      <c r="Q480" s="18">
        <f>IF(C480="","",IFERROR(INDEX(Справочники!$D$6:$D$45,MATCH(C480,Справочники!$A$6:$A$45,0)),""))</f>
        <v/>
      </c>
    </row>
    <row r="481">
      <c r="A481" s="18">
        <f>IF(B481="","",ROW()-5)</f>
        <v/>
      </c>
      <c r="B481" s="19" t="n"/>
      <c r="C481" s="20" t="n"/>
      <c r="D481" s="21">
        <f>IF(C481="","",IFERROR(INDEX(Справочники!$B$6:$B$45,MATCH(C481,Справочники!$A$6:$A$45,0)),"нет в справочнике"))</f>
        <v/>
      </c>
      <c r="E481" s="20" t="n"/>
      <c r="F481" s="20" t="n"/>
      <c r="G481" s="20" t="n"/>
      <c r="H481" s="20" t="n"/>
      <c r="I481" s="18">
        <f>IF(C481="","",IFERROR(INDEX(Справочники!$C$6:$C$45,MATCH(C481,Справочники!$A$6:$A$45,0)),""))</f>
        <v/>
      </c>
      <c r="J481" s="22">
        <f>IF(C481="","",IFERROR(INDEX(Справочники!$E$6:$E$45,MATCH(C481,Справочники!$A$6:$A$45,0)),""))</f>
        <v/>
      </c>
      <c r="K481" s="23" t="n"/>
      <c r="L481" s="20" t="n"/>
      <c r="M481" s="19" t="n"/>
      <c r="N481" s="20" t="n"/>
      <c r="O481" s="23" t="n"/>
      <c r="P481" s="18">
        <f>IF(B481="","",IF(M481="",IF(L481="Карантин",INT(TODAY())-B481,""),M481-B481))</f>
        <v/>
      </c>
      <c r="Q481" s="18">
        <f>IF(C481="","",IFERROR(INDEX(Справочники!$D$6:$D$45,MATCH(C481,Справочники!$A$6:$A$45,0)),""))</f>
        <v/>
      </c>
    </row>
    <row r="482">
      <c r="A482" s="18">
        <f>IF(B482="","",ROW()-5)</f>
        <v/>
      </c>
      <c r="B482" s="19" t="n"/>
      <c r="C482" s="20" t="n"/>
      <c r="D482" s="21">
        <f>IF(C482="","",IFERROR(INDEX(Справочники!$B$6:$B$45,MATCH(C482,Справочники!$A$6:$A$45,0)),"нет в справочнике"))</f>
        <v/>
      </c>
      <c r="E482" s="20" t="n"/>
      <c r="F482" s="20" t="n"/>
      <c r="G482" s="20" t="n"/>
      <c r="H482" s="20" t="n"/>
      <c r="I482" s="18">
        <f>IF(C482="","",IFERROR(INDEX(Справочники!$C$6:$C$45,MATCH(C482,Справочники!$A$6:$A$45,0)),""))</f>
        <v/>
      </c>
      <c r="J482" s="22">
        <f>IF(C482="","",IFERROR(INDEX(Справочники!$E$6:$E$45,MATCH(C482,Справочники!$A$6:$A$45,0)),""))</f>
        <v/>
      </c>
      <c r="K482" s="23" t="n"/>
      <c r="L482" s="20" t="n"/>
      <c r="M482" s="19" t="n"/>
      <c r="N482" s="20" t="n"/>
      <c r="O482" s="23" t="n"/>
      <c r="P482" s="18">
        <f>IF(B482="","",IF(M482="",IF(L482="Карантин",INT(TODAY())-B482,""),M482-B482))</f>
        <v/>
      </c>
      <c r="Q482" s="18">
        <f>IF(C482="","",IFERROR(INDEX(Справочники!$D$6:$D$45,MATCH(C482,Справочники!$A$6:$A$45,0)),""))</f>
        <v/>
      </c>
    </row>
    <row r="483">
      <c r="A483" s="18">
        <f>IF(B483="","",ROW()-5)</f>
        <v/>
      </c>
      <c r="B483" s="19" t="n"/>
      <c r="C483" s="20" t="n"/>
      <c r="D483" s="21">
        <f>IF(C483="","",IFERROR(INDEX(Справочники!$B$6:$B$45,MATCH(C483,Справочники!$A$6:$A$45,0)),"нет в справочнике"))</f>
        <v/>
      </c>
      <c r="E483" s="20" t="n"/>
      <c r="F483" s="20" t="n"/>
      <c r="G483" s="20" t="n"/>
      <c r="H483" s="20" t="n"/>
      <c r="I483" s="18">
        <f>IF(C483="","",IFERROR(INDEX(Справочники!$C$6:$C$45,MATCH(C483,Справочники!$A$6:$A$45,0)),""))</f>
        <v/>
      </c>
      <c r="J483" s="22">
        <f>IF(C483="","",IFERROR(INDEX(Справочники!$E$6:$E$45,MATCH(C483,Справочники!$A$6:$A$45,0)),""))</f>
        <v/>
      </c>
      <c r="K483" s="23" t="n"/>
      <c r="L483" s="20" t="n"/>
      <c r="M483" s="19" t="n"/>
      <c r="N483" s="20" t="n"/>
      <c r="O483" s="23" t="n"/>
      <c r="P483" s="18">
        <f>IF(B483="","",IF(M483="",IF(L483="Карантин",INT(TODAY())-B483,""),M483-B483))</f>
        <v/>
      </c>
      <c r="Q483" s="18">
        <f>IF(C483="","",IFERROR(INDEX(Справочники!$D$6:$D$45,MATCH(C483,Справочники!$A$6:$A$45,0)),""))</f>
        <v/>
      </c>
    </row>
    <row r="484">
      <c r="A484" s="18">
        <f>IF(B484="","",ROW()-5)</f>
        <v/>
      </c>
      <c r="B484" s="19" t="n"/>
      <c r="C484" s="20" t="n"/>
      <c r="D484" s="21">
        <f>IF(C484="","",IFERROR(INDEX(Справочники!$B$6:$B$45,MATCH(C484,Справочники!$A$6:$A$45,0)),"нет в справочнике"))</f>
        <v/>
      </c>
      <c r="E484" s="20" t="n"/>
      <c r="F484" s="20" t="n"/>
      <c r="G484" s="20" t="n"/>
      <c r="H484" s="20" t="n"/>
      <c r="I484" s="18">
        <f>IF(C484="","",IFERROR(INDEX(Справочники!$C$6:$C$45,MATCH(C484,Справочники!$A$6:$A$45,0)),""))</f>
        <v/>
      </c>
      <c r="J484" s="22">
        <f>IF(C484="","",IFERROR(INDEX(Справочники!$E$6:$E$45,MATCH(C484,Справочники!$A$6:$A$45,0)),""))</f>
        <v/>
      </c>
      <c r="K484" s="23" t="n"/>
      <c r="L484" s="20" t="n"/>
      <c r="M484" s="19" t="n"/>
      <c r="N484" s="20" t="n"/>
      <c r="O484" s="23" t="n"/>
      <c r="P484" s="18">
        <f>IF(B484="","",IF(M484="",IF(L484="Карантин",INT(TODAY())-B484,""),M484-B484))</f>
        <v/>
      </c>
      <c r="Q484" s="18">
        <f>IF(C484="","",IFERROR(INDEX(Справочники!$D$6:$D$45,MATCH(C484,Справочники!$A$6:$A$45,0)),""))</f>
        <v/>
      </c>
    </row>
    <row r="485">
      <c r="A485" s="18">
        <f>IF(B485="","",ROW()-5)</f>
        <v/>
      </c>
      <c r="B485" s="19" t="n"/>
      <c r="C485" s="20" t="n"/>
      <c r="D485" s="21">
        <f>IF(C485="","",IFERROR(INDEX(Справочники!$B$6:$B$45,MATCH(C485,Справочники!$A$6:$A$45,0)),"нет в справочнике"))</f>
        <v/>
      </c>
      <c r="E485" s="20" t="n"/>
      <c r="F485" s="20" t="n"/>
      <c r="G485" s="20" t="n"/>
      <c r="H485" s="20" t="n"/>
      <c r="I485" s="18">
        <f>IF(C485="","",IFERROR(INDEX(Справочники!$C$6:$C$45,MATCH(C485,Справочники!$A$6:$A$45,0)),""))</f>
        <v/>
      </c>
      <c r="J485" s="22">
        <f>IF(C485="","",IFERROR(INDEX(Справочники!$E$6:$E$45,MATCH(C485,Справочники!$A$6:$A$45,0)),""))</f>
        <v/>
      </c>
      <c r="K485" s="23" t="n"/>
      <c r="L485" s="20" t="n"/>
      <c r="M485" s="19" t="n"/>
      <c r="N485" s="20" t="n"/>
      <c r="O485" s="23" t="n"/>
      <c r="P485" s="18">
        <f>IF(B485="","",IF(M485="",IF(L485="Карантин",INT(TODAY())-B485,""),M485-B485))</f>
        <v/>
      </c>
      <c r="Q485" s="18">
        <f>IF(C485="","",IFERROR(INDEX(Справочники!$D$6:$D$45,MATCH(C485,Справочники!$A$6:$A$45,0)),""))</f>
        <v/>
      </c>
    </row>
    <row r="486">
      <c r="A486" s="18">
        <f>IF(B486="","",ROW()-5)</f>
        <v/>
      </c>
      <c r="B486" s="19" t="n"/>
      <c r="C486" s="20" t="n"/>
      <c r="D486" s="21">
        <f>IF(C486="","",IFERROR(INDEX(Справочники!$B$6:$B$45,MATCH(C486,Справочники!$A$6:$A$45,0)),"нет в справочнике"))</f>
        <v/>
      </c>
      <c r="E486" s="20" t="n"/>
      <c r="F486" s="20" t="n"/>
      <c r="G486" s="20" t="n"/>
      <c r="H486" s="20" t="n"/>
      <c r="I486" s="18">
        <f>IF(C486="","",IFERROR(INDEX(Справочники!$C$6:$C$45,MATCH(C486,Справочники!$A$6:$A$45,0)),""))</f>
        <v/>
      </c>
      <c r="J486" s="22">
        <f>IF(C486="","",IFERROR(INDEX(Справочники!$E$6:$E$45,MATCH(C486,Справочники!$A$6:$A$45,0)),""))</f>
        <v/>
      </c>
      <c r="K486" s="23" t="n"/>
      <c r="L486" s="20" t="n"/>
      <c r="M486" s="19" t="n"/>
      <c r="N486" s="20" t="n"/>
      <c r="O486" s="23" t="n"/>
      <c r="P486" s="18">
        <f>IF(B486="","",IF(M486="",IF(L486="Карантин",INT(TODAY())-B486,""),M486-B486))</f>
        <v/>
      </c>
      <c r="Q486" s="18">
        <f>IF(C486="","",IFERROR(INDEX(Справочники!$D$6:$D$45,MATCH(C486,Справочники!$A$6:$A$45,0)),""))</f>
        <v/>
      </c>
    </row>
    <row r="487">
      <c r="A487" s="18">
        <f>IF(B487="","",ROW()-5)</f>
        <v/>
      </c>
      <c r="B487" s="19" t="n"/>
      <c r="C487" s="20" t="n"/>
      <c r="D487" s="21">
        <f>IF(C487="","",IFERROR(INDEX(Справочники!$B$6:$B$45,MATCH(C487,Справочники!$A$6:$A$45,0)),"нет в справочнике"))</f>
        <v/>
      </c>
      <c r="E487" s="20" t="n"/>
      <c r="F487" s="20" t="n"/>
      <c r="G487" s="20" t="n"/>
      <c r="H487" s="20" t="n"/>
      <c r="I487" s="18">
        <f>IF(C487="","",IFERROR(INDEX(Справочники!$C$6:$C$45,MATCH(C487,Справочники!$A$6:$A$45,0)),""))</f>
        <v/>
      </c>
      <c r="J487" s="22">
        <f>IF(C487="","",IFERROR(INDEX(Справочники!$E$6:$E$45,MATCH(C487,Справочники!$A$6:$A$45,0)),""))</f>
        <v/>
      </c>
      <c r="K487" s="23" t="n"/>
      <c r="L487" s="20" t="n"/>
      <c r="M487" s="19" t="n"/>
      <c r="N487" s="20" t="n"/>
      <c r="O487" s="23" t="n"/>
      <c r="P487" s="18">
        <f>IF(B487="","",IF(M487="",IF(L487="Карантин",INT(TODAY())-B487,""),M487-B487))</f>
        <v/>
      </c>
      <c r="Q487" s="18">
        <f>IF(C487="","",IFERROR(INDEX(Справочники!$D$6:$D$45,MATCH(C487,Справочники!$A$6:$A$45,0)),""))</f>
        <v/>
      </c>
    </row>
    <row r="488">
      <c r="A488" s="18">
        <f>IF(B488="","",ROW()-5)</f>
        <v/>
      </c>
      <c r="B488" s="19" t="n"/>
      <c r="C488" s="20" t="n"/>
      <c r="D488" s="21">
        <f>IF(C488="","",IFERROR(INDEX(Справочники!$B$6:$B$45,MATCH(C488,Справочники!$A$6:$A$45,0)),"нет в справочнике"))</f>
        <v/>
      </c>
      <c r="E488" s="20" t="n"/>
      <c r="F488" s="20" t="n"/>
      <c r="G488" s="20" t="n"/>
      <c r="H488" s="20" t="n"/>
      <c r="I488" s="18">
        <f>IF(C488="","",IFERROR(INDEX(Справочники!$C$6:$C$45,MATCH(C488,Справочники!$A$6:$A$45,0)),""))</f>
        <v/>
      </c>
      <c r="J488" s="22">
        <f>IF(C488="","",IFERROR(INDEX(Справочники!$E$6:$E$45,MATCH(C488,Справочники!$A$6:$A$45,0)),""))</f>
        <v/>
      </c>
      <c r="K488" s="23" t="n"/>
      <c r="L488" s="20" t="n"/>
      <c r="M488" s="19" t="n"/>
      <c r="N488" s="20" t="n"/>
      <c r="O488" s="23" t="n"/>
      <c r="P488" s="18">
        <f>IF(B488="","",IF(M488="",IF(L488="Карантин",INT(TODAY())-B488,""),M488-B488))</f>
        <v/>
      </c>
      <c r="Q488" s="18">
        <f>IF(C488="","",IFERROR(INDEX(Справочники!$D$6:$D$45,MATCH(C488,Справочники!$A$6:$A$45,0)),""))</f>
        <v/>
      </c>
    </row>
    <row r="489">
      <c r="A489" s="18">
        <f>IF(B489="","",ROW()-5)</f>
        <v/>
      </c>
      <c r="B489" s="19" t="n"/>
      <c r="C489" s="20" t="n"/>
      <c r="D489" s="21">
        <f>IF(C489="","",IFERROR(INDEX(Справочники!$B$6:$B$45,MATCH(C489,Справочники!$A$6:$A$45,0)),"нет в справочнике"))</f>
        <v/>
      </c>
      <c r="E489" s="20" t="n"/>
      <c r="F489" s="20" t="n"/>
      <c r="G489" s="20" t="n"/>
      <c r="H489" s="20" t="n"/>
      <c r="I489" s="18">
        <f>IF(C489="","",IFERROR(INDEX(Справочники!$C$6:$C$45,MATCH(C489,Справочники!$A$6:$A$45,0)),""))</f>
        <v/>
      </c>
      <c r="J489" s="22">
        <f>IF(C489="","",IFERROR(INDEX(Справочники!$E$6:$E$45,MATCH(C489,Справочники!$A$6:$A$45,0)),""))</f>
        <v/>
      </c>
      <c r="K489" s="23" t="n"/>
      <c r="L489" s="20" t="n"/>
      <c r="M489" s="19" t="n"/>
      <c r="N489" s="20" t="n"/>
      <c r="O489" s="23" t="n"/>
      <c r="P489" s="18">
        <f>IF(B489="","",IF(M489="",IF(L489="Карантин",INT(TODAY())-B489,""),M489-B489))</f>
        <v/>
      </c>
      <c r="Q489" s="18">
        <f>IF(C489="","",IFERROR(INDEX(Справочники!$D$6:$D$45,MATCH(C489,Справочники!$A$6:$A$45,0)),""))</f>
        <v/>
      </c>
    </row>
    <row r="490">
      <c r="A490" s="18">
        <f>IF(B490="","",ROW()-5)</f>
        <v/>
      </c>
      <c r="B490" s="19" t="n"/>
      <c r="C490" s="20" t="n"/>
      <c r="D490" s="21">
        <f>IF(C490="","",IFERROR(INDEX(Справочники!$B$6:$B$45,MATCH(C490,Справочники!$A$6:$A$45,0)),"нет в справочнике"))</f>
        <v/>
      </c>
      <c r="E490" s="20" t="n"/>
      <c r="F490" s="20" t="n"/>
      <c r="G490" s="20" t="n"/>
      <c r="H490" s="20" t="n"/>
      <c r="I490" s="18">
        <f>IF(C490="","",IFERROR(INDEX(Справочники!$C$6:$C$45,MATCH(C490,Справочники!$A$6:$A$45,0)),""))</f>
        <v/>
      </c>
      <c r="J490" s="22">
        <f>IF(C490="","",IFERROR(INDEX(Справочники!$E$6:$E$45,MATCH(C490,Справочники!$A$6:$A$45,0)),""))</f>
        <v/>
      </c>
      <c r="K490" s="23" t="n"/>
      <c r="L490" s="20" t="n"/>
      <c r="M490" s="19" t="n"/>
      <c r="N490" s="20" t="n"/>
      <c r="O490" s="23" t="n"/>
      <c r="P490" s="18">
        <f>IF(B490="","",IF(M490="",IF(L490="Карантин",INT(TODAY())-B490,""),M490-B490))</f>
        <v/>
      </c>
      <c r="Q490" s="18">
        <f>IF(C490="","",IFERROR(INDEX(Справочники!$D$6:$D$45,MATCH(C490,Справочники!$A$6:$A$45,0)),""))</f>
        <v/>
      </c>
    </row>
    <row r="491">
      <c r="A491" s="18">
        <f>IF(B491="","",ROW()-5)</f>
        <v/>
      </c>
      <c r="B491" s="19" t="n"/>
      <c r="C491" s="20" t="n"/>
      <c r="D491" s="21">
        <f>IF(C491="","",IFERROR(INDEX(Справочники!$B$6:$B$45,MATCH(C491,Справочники!$A$6:$A$45,0)),"нет в справочнике"))</f>
        <v/>
      </c>
      <c r="E491" s="20" t="n"/>
      <c r="F491" s="20" t="n"/>
      <c r="G491" s="20" t="n"/>
      <c r="H491" s="20" t="n"/>
      <c r="I491" s="18">
        <f>IF(C491="","",IFERROR(INDEX(Справочники!$C$6:$C$45,MATCH(C491,Справочники!$A$6:$A$45,0)),""))</f>
        <v/>
      </c>
      <c r="J491" s="22">
        <f>IF(C491="","",IFERROR(INDEX(Справочники!$E$6:$E$45,MATCH(C491,Справочники!$A$6:$A$45,0)),""))</f>
        <v/>
      </c>
      <c r="K491" s="23" t="n"/>
      <c r="L491" s="20" t="n"/>
      <c r="M491" s="19" t="n"/>
      <c r="N491" s="20" t="n"/>
      <c r="O491" s="23" t="n"/>
      <c r="P491" s="18">
        <f>IF(B491="","",IF(M491="",IF(L491="Карантин",INT(TODAY())-B491,""),M491-B491))</f>
        <v/>
      </c>
      <c r="Q491" s="18">
        <f>IF(C491="","",IFERROR(INDEX(Справочники!$D$6:$D$45,MATCH(C491,Справочники!$A$6:$A$45,0)),""))</f>
        <v/>
      </c>
    </row>
    <row r="492">
      <c r="A492" s="18">
        <f>IF(B492="","",ROW()-5)</f>
        <v/>
      </c>
      <c r="B492" s="19" t="n"/>
      <c r="C492" s="20" t="n"/>
      <c r="D492" s="21">
        <f>IF(C492="","",IFERROR(INDEX(Справочники!$B$6:$B$45,MATCH(C492,Справочники!$A$6:$A$45,0)),"нет в справочнике"))</f>
        <v/>
      </c>
      <c r="E492" s="20" t="n"/>
      <c r="F492" s="20" t="n"/>
      <c r="G492" s="20" t="n"/>
      <c r="H492" s="20" t="n"/>
      <c r="I492" s="18">
        <f>IF(C492="","",IFERROR(INDEX(Справочники!$C$6:$C$45,MATCH(C492,Справочники!$A$6:$A$45,0)),""))</f>
        <v/>
      </c>
      <c r="J492" s="22">
        <f>IF(C492="","",IFERROR(INDEX(Справочники!$E$6:$E$45,MATCH(C492,Справочники!$A$6:$A$45,0)),""))</f>
        <v/>
      </c>
      <c r="K492" s="23" t="n"/>
      <c r="L492" s="20" t="n"/>
      <c r="M492" s="19" t="n"/>
      <c r="N492" s="20" t="n"/>
      <c r="O492" s="23" t="n"/>
      <c r="P492" s="18">
        <f>IF(B492="","",IF(M492="",IF(L492="Карантин",INT(TODAY())-B492,""),M492-B492))</f>
        <v/>
      </c>
      <c r="Q492" s="18">
        <f>IF(C492="","",IFERROR(INDEX(Справочники!$D$6:$D$45,MATCH(C492,Справочники!$A$6:$A$45,0)),""))</f>
        <v/>
      </c>
    </row>
    <row r="493">
      <c r="A493" s="18">
        <f>IF(B493="","",ROW()-5)</f>
        <v/>
      </c>
      <c r="B493" s="19" t="n"/>
      <c r="C493" s="20" t="n"/>
      <c r="D493" s="21">
        <f>IF(C493="","",IFERROR(INDEX(Справочники!$B$6:$B$45,MATCH(C493,Справочники!$A$6:$A$45,0)),"нет в справочнике"))</f>
        <v/>
      </c>
      <c r="E493" s="20" t="n"/>
      <c r="F493" s="20" t="n"/>
      <c r="G493" s="20" t="n"/>
      <c r="H493" s="20" t="n"/>
      <c r="I493" s="18">
        <f>IF(C493="","",IFERROR(INDEX(Справочники!$C$6:$C$45,MATCH(C493,Справочники!$A$6:$A$45,0)),""))</f>
        <v/>
      </c>
      <c r="J493" s="22">
        <f>IF(C493="","",IFERROR(INDEX(Справочники!$E$6:$E$45,MATCH(C493,Справочники!$A$6:$A$45,0)),""))</f>
        <v/>
      </c>
      <c r="K493" s="23" t="n"/>
      <c r="L493" s="20" t="n"/>
      <c r="M493" s="19" t="n"/>
      <c r="N493" s="20" t="n"/>
      <c r="O493" s="23" t="n"/>
      <c r="P493" s="18">
        <f>IF(B493="","",IF(M493="",IF(L493="Карантин",INT(TODAY())-B493,""),M493-B493))</f>
        <v/>
      </c>
      <c r="Q493" s="18">
        <f>IF(C493="","",IFERROR(INDEX(Справочники!$D$6:$D$45,MATCH(C493,Справочники!$A$6:$A$45,0)),""))</f>
        <v/>
      </c>
    </row>
    <row r="494">
      <c r="A494" s="18">
        <f>IF(B494="","",ROW()-5)</f>
        <v/>
      </c>
      <c r="B494" s="19" t="n"/>
      <c r="C494" s="20" t="n"/>
      <c r="D494" s="21">
        <f>IF(C494="","",IFERROR(INDEX(Справочники!$B$6:$B$45,MATCH(C494,Справочники!$A$6:$A$45,0)),"нет в справочнике"))</f>
        <v/>
      </c>
      <c r="E494" s="20" t="n"/>
      <c r="F494" s="20" t="n"/>
      <c r="G494" s="20" t="n"/>
      <c r="H494" s="20" t="n"/>
      <c r="I494" s="18">
        <f>IF(C494="","",IFERROR(INDEX(Справочники!$C$6:$C$45,MATCH(C494,Справочники!$A$6:$A$45,0)),""))</f>
        <v/>
      </c>
      <c r="J494" s="22">
        <f>IF(C494="","",IFERROR(INDEX(Справочники!$E$6:$E$45,MATCH(C494,Справочники!$A$6:$A$45,0)),""))</f>
        <v/>
      </c>
      <c r="K494" s="23" t="n"/>
      <c r="L494" s="20" t="n"/>
      <c r="M494" s="19" t="n"/>
      <c r="N494" s="20" t="n"/>
      <c r="O494" s="23" t="n"/>
      <c r="P494" s="18">
        <f>IF(B494="","",IF(M494="",IF(L494="Карантин",INT(TODAY())-B494,""),M494-B494))</f>
        <v/>
      </c>
      <c r="Q494" s="18">
        <f>IF(C494="","",IFERROR(INDEX(Справочники!$D$6:$D$45,MATCH(C494,Справочники!$A$6:$A$45,0)),""))</f>
        <v/>
      </c>
    </row>
    <row r="495">
      <c r="A495" s="18">
        <f>IF(B495="","",ROW()-5)</f>
        <v/>
      </c>
      <c r="B495" s="19" t="n"/>
      <c r="C495" s="20" t="n"/>
      <c r="D495" s="21">
        <f>IF(C495="","",IFERROR(INDEX(Справочники!$B$6:$B$45,MATCH(C495,Справочники!$A$6:$A$45,0)),"нет в справочнике"))</f>
        <v/>
      </c>
      <c r="E495" s="20" t="n"/>
      <c r="F495" s="20" t="n"/>
      <c r="G495" s="20" t="n"/>
      <c r="H495" s="20" t="n"/>
      <c r="I495" s="18">
        <f>IF(C495="","",IFERROR(INDEX(Справочники!$C$6:$C$45,MATCH(C495,Справочники!$A$6:$A$45,0)),""))</f>
        <v/>
      </c>
      <c r="J495" s="22">
        <f>IF(C495="","",IFERROR(INDEX(Справочники!$E$6:$E$45,MATCH(C495,Справочники!$A$6:$A$45,0)),""))</f>
        <v/>
      </c>
      <c r="K495" s="23" t="n"/>
      <c r="L495" s="20" t="n"/>
      <c r="M495" s="19" t="n"/>
      <c r="N495" s="20" t="n"/>
      <c r="O495" s="23" t="n"/>
      <c r="P495" s="18">
        <f>IF(B495="","",IF(M495="",IF(L495="Карантин",INT(TODAY())-B495,""),M495-B495))</f>
        <v/>
      </c>
      <c r="Q495" s="18">
        <f>IF(C495="","",IFERROR(INDEX(Справочники!$D$6:$D$45,MATCH(C495,Справочники!$A$6:$A$45,0)),""))</f>
        <v/>
      </c>
    </row>
    <row r="496">
      <c r="A496" s="18">
        <f>IF(B496="","",ROW()-5)</f>
        <v/>
      </c>
      <c r="B496" s="19" t="n"/>
      <c r="C496" s="20" t="n"/>
      <c r="D496" s="21">
        <f>IF(C496="","",IFERROR(INDEX(Справочники!$B$6:$B$45,MATCH(C496,Справочники!$A$6:$A$45,0)),"нет в справочнике"))</f>
        <v/>
      </c>
      <c r="E496" s="20" t="n"/>
      <c r="F496" s="20" t="n"/>
      <c r="G496" s="20" t="n"/>
      <c r="H496" s="20" t="n"/>
      <c r="I496" s="18">
        <f>IF(C496="","",IFERROR(INDEX(Справочники!$C$6:$C$45,MATCH(C496,Справочники!$A$6:$A$45,0)),""))</f>
        <v/>
      </c>
      <c r="J496" s="22">
        <f>IF(C496="","",IFERROR(INDEX(Справочники!$E$6:$E$45,MATCH(C496,Справочники!$A$6:$A$45,0)),""))</f>
        <v/>
      </c>
      <c r="K496" s="23" t="n"/>
      <c r="L496" s="20" t="n"/>
      <c r="M496" s="19" t="n"/>
      <c r="N496" s="20" t="n"/>
      <c r="O496" s="23" t="n"/>
      <c r="P496" s="18">
        <f>IF(B496="","",IF(M496="",IF(L496="Карантин",INT(TODAY())-B496,""),M496-B496))</f>
        <v/>
      </c>
      <c r="Q496" s="18">
        <f>IF(C496="","",IFERROR(INDEX(Справочники!$D$6:$D$45,MATCH(C496,Справочники!$A$6:$A$45,0)),""))</f>
        <v/>
      </c>
    </row>
    <row r="497">
      <c r="A497" s="18">
        <f>IF(B497="","",ROW()-5)</f>
        <v/>
      </c>
      <c r="B497" s="19" t="n"/>
      <c r="C497" s="20" t="n"/>
      <c r="D497" s="21">
        <f>IF(C497="","",IFERROR(INDEX(Справочники!$B$6:$B$45,MATCH(C497,Справочники!$A$6:$A$45,0)),"нет в справочнике"))</f>
        <v/>
      </c>
      <c r="E497" s="20" t="n"/>
      <c r="F497" s="20" t="n"/>
      <c r="G497" s="20" t="n"/>
      <c r="H497" s="20" t="n"/>
      <c r="I497" s="18">
        <f>IF(C497="","",IFERROR(INDEX(Справочники!$C$6:$C$45,MATCH(C497,Справочники!$A$6:$A$45,0)),""))</f>
        <v/>
      </c>
      <c r="J497" s="22">
        <f>IF(C497="","",IFERROR(INDEX(Справочники!$E$6:$E$45,MATCH(C497,Справочники!$A$6:$A$45,0)),""))</f>
        <v/>
      </c>
      <c r="K497" s="23" t="n"/>
      <c r="L497" s="20" t="n"/>
      <c r="M497" s="19" t="n"/>
      <c r="N497" s="20" t="n"/>
      <c r="O497" s="23" t="n"/>
      <c r="P497" s="18">
        <f>IF(B497="","",IF(M497="",IF(L497="Карантин",INT(TODAY())-B497,""),M497-B497))</f>
        <v/>
      </c>
      <c r="Q497" s="18">
        <f>IF(C497="","",IFERROR(INDEX(Справочники!$D$6:$D$45,MATCH(C497,Справочники!$A$6:$A$45,0)),""))</f>
        <v/>
      </c>
    </row>
    <row r="498">
      <c r="A498" s="18">
        <f>IF(B498="","",ROW()-5)</f>
        <v/>
      </c>
      <c r="B498" s="19" t="n"/>
      <c r="C498" s="20" t="n"/>
      <c r="D498" s="21">
        <f>IF(C498="","",IFERROR(INDEX(Справочники!$B$6:$B$45,MATCH(C498,Справочники!$A$6:$A$45,0)),"нет в справочнике"))</f>
        <v/>
      </c>
      <c r="E498" s="20" t="n"/>
      <c r="F498" s="20" t="n"/>
      <c r="G498" s="20" t="n"/>
      <c r="H498" s="20" t="n"/>
      <c r="I498" s="18">
        <f>IF(C498="","",IFERROR(INDEX(Справочники!$C$6:$C$45,MATCH(C498,Справочники!$A$6:$A$45,0)),""))</f>
        <v/>
      </c>
      <c r="J498" s="22">
        <f>IF(C498="","",IFERROR(INDEX(Справочники!$E$6:$E$45,MATCH(C498,Справочники!$A$6:$A$45,0)),""))</f>
        <v/>
      </c>
      <c r="K498" s="23" t="n"/>
      <c r="L498" s="20" t="n"/>
      <c r="M498" s="19" t="n"/>
      <c r="N498" s="20" t="n"/>
      <c r="O498" s="23" t="n"/>
      <c r="P498" s="18">
        <f>IF(B498="","",IF(M498="",IF(L498="Карантин",INT(TODAY())-B498,""),M498-B498))</f>
        <v/>
      </c>
      <c r="Q498" s="18">
        <f>IF(C498="","",IFERROR(INDEX(Справочники!$D$6:$D$45,MATCH(C498,Справочники!$A$6:$A$45,0)),""))</f>
        <v/>
      </c>
    </row>
    <row r="499">
      <c r="A499" s="18">
        <f>IF(B499="","",ROW()-5)</f>
        <v/>
      </c>
      <c r="B499" s="19" t="n"/>
      <c r="C499" s="20" t="n"/>
      <c r="D499" s="21">
        <f>IF(C499="","",IFERROR(INDEX(Справочники!$B$6:$B$45,MATCH(C499,Справочники!$A$6:$A$45,0)),"нет в справочнике"))</f>
        <v/>
      </c>
      <c r="E499" s="20" t="n"/>
      <c r="F499" s="20" t="n"/>
      <c r="G499" s="20" t="n"/>
      <c r="H499" s="20" t="n"/>
      <c r="I499" s="18">
        <f>IF(C499="","",IFERROR(INDEX(Справочники!$C$6:$C$45,MATCH(C499,Справочники!$A$6:$A$45,0)),""))</f>
        <v/>
      </c>
      <c r="J499" s="22">
        <f>IF(C499="","",IFERROR(INDEX(Справочники!$E$6:$E$45,MATCH(C499,Справочники!$A$6:$A$45,0)),""))</f>
        <v/>
      </c>
      <c r="K499" s="23" t="n"/>
      <c r="L499" s="20" t="n"/>
      <c r="M499" s="19" t="n"/>
      <c r="N499" s="20" t="n"/>
      <c r="O499" s="23" t="n"/>
      <c r="P499" s="18">
        <f>IF(B499="","",IF(M499="",IF(L499="Карантин",INT(TODAY())-B499,""),M499-B499))</f>
        <v/>
      </c>
      <c r="Q499" s="18">
        <f>IF(C499="","",IFERROR(INDEX(Справочники!$D$6:$D$45,MATCH(C499,Справочники!$A$6:$A$45,0)),""))</f>
        <v/>
      </c>
    </row>
    <row r="500">
      <c r="A500" s="18">
        <f>IF(B500="","",ROW()-5)</f>
        <v/>
      </c>
      <c r="B500" s="19" t="n"/>
      <c r="C500" s="20" t="n"/>
      <c r="D500" s="21">
        <f>IF(C500="","",IFERROR(INDEX(Справочники!$B$6:$B$45,MATCH(C500,Справочники!$A$6:$A$45,0)),"нет в справочнике"))</f>
        <v/>
      </c>
      <c r="E500" s="20" t="n"/>
      <c r="F500" s="20" t="n"/>
      <c r="G500" s="20" t="n"/>
      <c r="H500" s="20" t="n"/>
      <c r="I500" s="18">
        <f>IF(C500="","",IFERROR(INDEX(Справочники!$C$6:$C$45,MATCH(C500,Справочники!$A$6:$A$45,0)),""))</f>
        <v/>
      </c>
      <c r="J500" s="22">
        <f>IF(C500="","",IFERROR(INDEX(Справочники!$E$6:$E$45,MATCH(C500,Справочники!$A$6:$A$45,0)),""))</f>
        <v/>
      </c>
      <c r="K500" s="23" t="n"/>
      <c r="L500" s="20" t="n"/>
      <c r="M500" s="19" t="n"/>
      <c r="N500" s="20" t="n"/>
      <c r="O500" s="23" t="n"/>
      <c r="P500" s="18">
        <f>IF(B500="","",IF(M500="",IF(L500="Карантин",INT(TODAY())-B500,""),M500-B500))</f>
        <v/>
      </c>
      <c r="Q500" s="18">
        <f>IF(C500="","",IFERROR(INDEX(Справочники!$D$6:$D$45,MATCH(C500,Справочники!$A$6:$A$45,0)),""))</f>
        <v/>
      </c>
    </row>
    <row r="501">
      <c r="A501" s="18">
        <f>IF(B501="","",ROW()-5)</f>
        <v/>
      </c>
      <c r="B501" s="19" t="n"/>
      <c r="C501" s="20" t="n"/>
      <c r="D501" s="21">
        <f>IF(C501="","",IFERROR(INDEX(Справочники!$B$6:$B$45,MATCH(C501,Справочники!$A$6:$A$45,0)),"нет в справочнике"))</f>
        <v/>
      </c>
      <c r="E501" s="20" t="n"/>
      <c r="F501" s="20" t="n"/>
      <c r="G501" s="20" t="n"/>
      <c r="H501" s="20" t="n"/>
      <c r="I501" s="18">
        <f>IF(C501="","",IFERROR(INDEX(Справочники!$C$6:$C$45,MATCH(C501,Справочники!$A$6:$A$45,0)),""))</f>
        <v/>
      </c>
      <c r="J501" s="22">
        <f>IF(C501="","",IFERROR(INDEX(Справочники!$E$6:$E$45,MATCH(C501,Справочники!$A$6:$A$45,0)),""))</f>
        <v/>
      </c>
      <c r="K501" s="23" t="n"/>
      <c r="L501" s="20" t="n"/>
      <c r="M501" s="19" t="n"/>
      <c r="N501" s="20" t="n"/>
      <c r="O501" s="23" t="n"/>
      <c r="P501" s="18">
        <f>IF(B501="","",IF(M501="",IF(L501="Карантин",INT(TODAY())-B501,""),M501-B501))</f>
        <v/>
      </c>
      <c r="Q501" s="18">
        <f>IF(C501="","",IFERROR(INDEX(Справочники!$D$6:$D$45,MATCH(C501,Справочники!$A$6:$A$45,0)),""))</f>
        <v/>
      </c>
    </row>
    <row r="502">
      <c r="A502" s="18">
        <f>IF(B502="","",ROW()-5)</f>
        <v/>
      </c>
      <c r="B502" s="19" t="n"/>
      <c r="C502" s="20" t="n"/>
      <c r="D502" s="21">
        <f>IF(C502="","",IFERROR(INDEX(Справочники!$B$6:$B$45,MATCH(C502,Справочники!$A$6:$A$45,0)),"нет в справочнике"))</f>
        <v/>
      </c>
      <c r="E502" s="20" t="n"/>
      <c r="F502" s="20" t="n"/>
      <c r="G502" s="20" t="n"/>
      <c r="H502" s="20" t="n"/>
      <c r="I502" s="18">
        <f>IF(C502="","",IFERROR(INDEX(Справочники!$C$6:$C$45,MATCH(C502,Справочники!$A$6:$A$45,0)),""))</f>
        <v/>
      </c>
      <c r="J502" s="22">
        <f>IF(C502="","",IFERROR(INDEX(Справочники!$E$6:$E$45,MATCH(C502,Справочники!$A$6:$A$45,0)),""))</f>
        <v/>
      </c>
      <c r="K502" s="23" t="n"/>
      <c r="L502" s="20" t="n"/>
      <c r="M502" s="19" t="n"/>
      <c r="N502" s="20" t="n"/>
      <c r="O502" s="23" t="n"/>
      <c r="P502" s="18">
        <f>IF(B502="","",IF(M502="",IF(L502="Карантин",INT(TODAY())-B502,""),M502-B502))</f>
        <v/>
      </c>
      <c r="Q502" s="18">
        <f>IF(C502="","",IFERROR(INDEX(Справочники!$D$6:$D$45,MATCH(C502,Справочники!$A$6:$A$45,0)),""))</f>
        <v/>
      </c>
    </row>
    <row r="503">
      <c r="A503" s="18">
        <f>IF(B503="","",ROW()-5)</f>
        <v/>
      </c>
      <c r="B503" s="19" t="n"/>
      <c r="C503" s="20" t="n"/>
      <c r="D503" s="21">
        <f>IF(C503="","",IFERROR(INDEX(Справочники!$B$6:$B$45,MATCH(C503,Справочники!$A$6:$A$45,0)),"нет в справочнике"))</f>
        <v/>
      </c>
      <c r="E503" s="20" t="n"/>
      <c r="F503" s="20" t="n"/>
      <c r="G503" s="20" t="n"/>
      <c r="H503" s="20" t="n"/>
      <c r="I503" s="18">
        <f>IF(C503="","",IFERROR(INDEX(Справочники!$C$6:$C$45,MATCH(C503,Справочники!$A$6:$A$45,0)),""))</f>
        <v/>
      </c>
      <c r="J503" s="22">
        <f>IF(C503="","",IFERROR(INDEX(Справочники!$E$6:$E$45,MATCH(C503,Справочники!$A$6:$A$45,0)),""))</f>
        <v/>
      </c>
      <c r="K503" s="23" t="n"/>
      <c r="L503" s="20" t="n"/>
      <c r="M503" s="19" t="n"/>
      <c r="N503" s="20" t="n"/>
      <c r="O503" s="23" t="n"/>
      <c r="P503" s="18">
        <f>IF(B503="","",IF(M503="",IF(L503="Карантин",INT(TODAY())-B503,""),M503-B503))</f>
        <v/>
      </c>
      <c r="Q503" s="18">
        <f>IF(C503="","",IFERROR(INDEX(Справочники!$D$6:$D$45,MATCH(C503,Справочники!$A$6:$A$45,0)),""))</f>
        <v/>
      </c>
    </row>
    <row r="504">
      <c r="A504" s="18">
        <f>IF(B504="","",ROW()-5)</f>
        <v/>
      </c>
      <c r="B504" s="19" t="n"/>
      <c r="C504" s="20" t="n"/>
      <c r="D504" s="21">
        <f>IF(C504="","",IFERROR(INDEX(Справочники!$B$6:$B$45,MATCH(C504,Справочники!$A$6:$A$45,0)),"нет в справочнике"))</f>
        <v/>
      </c>
      <c r="E504" s="20" t="n"/>
      <c r="F504" s="20" t="n"/>
      <c r="G504" s="20" t="n"/>
      <c r="H504" s="20" t="n"/>
      <c r="I504" s="18">
        <f>IF(C504="","",IFERROR(INDEX(Справочники!$C$6:$C$45,MATCH(C504,Справочники!$A$6:$A$45,0)),""))</f>
        <v/>
      </c>
      <c r="J504" s="22">
        <f>IF(C504="","",IFERROR(INDEX(Справочники!$E$6:$E$45,MATCH(C504,Справочники!$A$6:$A$45,0)),""))</f>
        <v/>
      </c>
      <c r="K504" s="23" t="n"/>
      <c r="L504" s="20" t="n"/>
      <c r="M504" s="19" t="n"/>
      <c r="N504" s="20" t="n"/>
      <c r="O504" s="23" t="n"/>
      <c r="P504" s="18">
        <f>IF(B504="","",IF(M504="",IF(L504="Карантин",INT(TODAY())-B504,""),M504-B504))</f>
        <v/>
      </c>
      <c r="Q504" s="18">
        <f>IF(C504="","",IFERROR(INDEX(Справочники!$D$6:$D$45,MATCH(C504,Справочники!$A$6:$A$45,0)),""))</f>
        <v/>
      </c>
    </row>
    <row r="505">
      <c r="A505" s="18">
        <f>IF(B505="","",ROW()-5)</f>
        <v/>
      </c>
      <c r="B505" s="19" t="n"/>
      <c r="C505" s="20" t="n"/>
      <c r="D505" s="21">
        <f>IF(C505="","",IFERROR(INDEX(Справочники!$B$6:$B$45,MATCH(C505,Справочники!$A$6:$A$45,0)),"нет в справочнике"))</f>
        <v/>
      </c>
      <c r="E505" s="20" t="n"/>
      <c r="F505" s="20" t="n"/>
      <c r="G505" s="20" t="n"/>
      <c r="H505" s="20" t="n"/>
      <c r="I505" s="18">
        <f>IF(C505="","",IFERROR(INDEX(Справочники!$C$6:$C$45,MATCH(C505,Справочники!$A$6:$A$45,0)),""))</f>
        <v/>
      </c>
      <c r="J505" s="22">
        <f>IF(C505="","",IFERROR(INDEX(Справочники!$E$6:$E$45,MATCH(C505,Справочники!$A$6:$A$45,0)),""))</f>
        <v/>
      </c>
      <c r="K505" s="23" t="n"/>
      <c r="L505" s="20" t="n"/>
      <c r="M505" s="19" t="n"/>
      <c r="N505" s="20" t="n"/>
      <c r="O505" s="23" t="n"/>
      <c r="P505" s="18">
        <f>IF(B505="","",IF(M505="",IF(L505="Карантин",INT(TODAY())-B505,""),M505-B505))</f>
        <v/>
      </c>
      <c r="Q505" s="18">
        <f>IF(C505="","",IFERROR(INDEX(Справочники!$D$6:$D$45,MATCH(C505,Справочники!$A$6:$A$45,0)),""))</f>
        <v/>
      </c>
    </row>
  </sheetData>
  <autoFilter ref="A5:Q505"/>
  <conditionalFormatting sqref="L6:L505">
    <cfRule type="cellIs" priority="1" operator="equal" dxfId="0">
      <formula>"Забраковано"</formula>
    </cfRule>
    <cfRule type="cellIs" priority="2" operator="equal" dxfId="1">
      <formula>"Карантин"</formula>
    </cfRule>
    <cfRule type="cellIs" priority="3" operator="equal" dxfId="2">
      <formula>"Принято с отступлением"</formula>
    </cfRule>
    <cfRule type="cellIs" priority="4" operator="equal" dxfId="3">
      <formula>"Принято"</formula>
    </cfRule>
  </conditionalFormatting>
  <conditionalFormatting sqref="P6:P505">
    <cfRule type="expression" priority="5" dxfId="4">
      <formula>AND(ISNUMBER(P6),P6&gt;Справочники!$L$6)</formula>
    </cfRule>
  </conditionalFormatting>
  <dataValidations count="3">
    <dataValidation sqref="C6:C505" showDropDown="0" showInputMessage="0" showErrorMessage="0" allowBlank="1" type="list">
      <formula1>=Справочники!$A$6:$A$45</formula1>
    </dataValidation>
    <dataValidation sqref="E6:E505" showDropDown="0" showInputMessage="0" showErrorMessage="0" allowBlank="1" type="list">
      <formula1>=Справочники!$G$6:$G$35</formula1>
    </dataValidation>
    <dataValidation sqref="L6:L505" showDropDown="0" showInputMessage="0" showErrorMessage="0" allowBlank="1" type="list">
      <formula1>"Принято,Принято с отступлением,Забраковано,Карантин"</formula1>
    </dataValidation>
  </dataValidations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2E75B6"/>
    <outlinePr summaryBelow="1" summaryRight="1"/>
    <pageSetUpPr/>
  </sheetPr>
  <dimension ref="A1:H3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11" customWidth="1" min="3" max="3"/>
    <col width="12" customWidth="1" min="4" max="4"/>
    <col width="10" customWidth="1" min="5" max="5"/>
    <col width="12" customWidth="1" min="6" max="6"/>
    <col width="9" customWidth="1" min="7" max="7"/>
    <col width="46" customWidth="1" min="8" max="8"/>
  </cols>
  <sheetData>
    <row r="1">
      <c r="A1" s="1" t="inlineStr">
        <is>
          <t>PLANT PERFORMANCE · plantperformance.ru</t>
        </is>
      </c>
    </row>
    <row r="2" ht="28" customHeight="1">
      <c r="A2" s="2" t="inlineStr">
        <is>
          <t>Рейтинг поставщиков по входному контролю</t>
        </is>
      </c>
    </row>
    <row r="3">
      <c r="A3" s="3" t="inlineStr">
        <is>
          <t>Считается автоматически из журнала. A — надёжный, B — под наблюдением, C — нужна претензия и план улучшений.</t>
        </is>
      </c>
    </row>
    <row r="5">
      <c r="A5" s="15" t="inlineStr">
        <is>
          <t>Поставщик</t>
        </is>
      </c>
      <c r="B5" s="15" t="inlineStr">
        <is>
          <t>Партий</t>
        </is>
      </c>
      <c r="C5" s="15" t="inlineStr">
        <is>
          <t>Забраковано</t>
        </is>
      </c>
      <c r="D5" s="15" t="inlineStr">
        <is>
          <t>С отступлением</t>
        </is>
      </c>
      <c r="E5" s="15" t="inlineStr">
        <is>
          <t>% брака</t>
        </is>
      </c>
      <c r="F5" s="15" t="inlineStr">
        <is>
          <t>Средн. дней до решения</t>
        </is>
      </c>
      <c r="G5" s="15" t="inlineStr">
        <is>
          <t>Рейтинг</t>
        </is>
      </c>
      <c r="H5" s="15" t="inlineStr">
        <is>
          <t>Что делать</t>
        </is>
      </c>
    </row>
    <row r="6">
      <c r="A6" s="24">
        <f>IF(Справочники!G6="","",Справочники!G6)</f>
        <v/>
      </c>
      <c r="B6" s="25">
        <f>IF(A6="","",COUNTIF(Журнал!$E$6:$E$505,A6))</f>
        <v/>
      </c>
      <c r="C6" s="25">
        <f>IF(A6="","",COUNTIFS(Журнал!$E$6:$E$505,A6,Журнал!$L$6:$L$505,"Забраковано"))</f>
        <v/>
      </c>
      <c r="D6" s="25">
        <f>IF(A6="","",COUNTIFS(Журнал!$E$6:$E$505,A6,Журнал!$L$6:$L$505,"Принято с отступлением"))</f>
        <v/>
      </c>
      <c r="E6" s="26">
        <f>IF(OR(A6="",N(B6)=0),"",C6/B6)</f>
        <v/>
      </c>
      <c r="F6" s="27">
        <f>IF(OR(A6="",N(B6)=0),"",IFERROR(AVERAGEIFS(Журнал!$P$6:$P$505,Журнал!$E$6:$E$505,A6),""))</f>
        <v/>
      </c>
      <c r="G6" s="28">
        <f>IF(E6="","",IF(E6&gt;=Справочники!$L$8,"C",IF(E6&gt;=Справочники!$L$7,"B","A")))</f>
        <v/>
      </c>
      <c r="H6" s="29">
        <f>IF(G6="C","Претензия, 8D от поставщика, усиленный контроль каждой партии",IF(G6="B","Разбор с поставщиком, контроль 100 % в течение 3 мес.",IF(G6="A","Сохранять, можно перевести на контроль по документам","")))</f>
        <v/>
      </c>
    </row>
    <row r="7">
      <c r="A7" s="24">
        <f>IF(Справочники!G7="","",Справочники!G7)</f>
        <v/>
      </c>
      <c r="B7" s="25">
        <f>IF(A7="","",COUNTIF(Журнал!$E$6:$E$505,A7))</f>
        <v/>
      </c>
      <c r="C7" s="25">
        <f>IF(A7="","",COUNTIFS(Журнал!$E$6:$E$505,A7,Журнал!$L$6:$L$505,"Забраковано"))</f>
        <v/>
      </c>
      <c r="D7" s="25">
        <f>IF(A7="","",COUNTIFS(Журнал!$E$6:$E$505,A7,Журнал!$L$6:$L$505,"Принято с отступлением"))</f>
        <v/>
      </c>
      <c r="E7" s="26">
        <f>IF(OR(A7="",N(B7)=0),"",C7/B7)</f>
        <v/>
      </c>
      <c r="F7" s="27">
        <f>IF(OR(A7="",N(B7)=0),"",IFERROR(AVERAGEIFS(Журнал!$P$6:$P$505,Журнал!$E$6:$E$505,A7),""))</f>
        <v/>
      </c>
      <c r="G7" s="28">
        <f>IF(E7="","",IF(E7&gt;=Справочники!$L$8,"C",IF(E7&gt;=Справочники!$L$7,"B","A")))</f>
        <v/>
      </c>
      <c r="H7" s="29">
        <f>IF(G7="C","Претензия, 8D от поставщика, усиленный контроль каждой партии",IF(G7="B","Разбор с поставщиком, контроль 100 % в течение 3 мес.",IF(G7="A","Сохранять, можно перевести на контроль по документам","")))</f>
        <v/>
      </c>
    </row>
    <row r="8">
      <c r="A8" s="24">
        <f>IF(Справочники!G8="","",Справочники!G8)</f>
        <v/>
      </c>
      <c r="B8" s="25">
        <f>IF(A8="","",COUNTIF(Журнал!$E$6:$E$505,A8))</f>
        <v/>
      </c>
      <c r="C8" s="25">
        <f>IF(A8="","",COUNTIFS(Журнал!$E$6:$E$505,A8,Журнал!$L$6:$L$505,"Забраковано"))</f>
        <v/>
      </c>
      <c r="D8" s="25">
        <f>IF(A8="","",COUNTIFS(Журнал!$E$6:$E$505,A8,Журнал!$L$6:$L$505,"Принято с отступлением"))</f>
        <v/>
      </c>
      <c r="E8" s="26">
        <f>IF(OR(A8="",N(B8)=0),"",C8/B8)</f>
        <v/>
      </c>
      <c r="F8" s="27">
        <f>IF(OR(A8="",N(B8)=0),"",IFERROR(AVERAGEIFS(Журнал!$P$6:$P$505,Журнал!$E$6:$E$505,A8),""))</f>
        <v/>
      </c>
      <c r="G8" s="28">
        <f>IF(E8="","",IF(E8&gt;=Справочники!$L$8,"C",IF(E8&gt;=Справочники!$L$7,"B","A")))</f>
        <v/>
      </c>
      <c r="H8" s="29">
        <f>IF(G8="C","Претензия, 8D от поставщика, усиленный контроль каждой партии",IF(G8="B","Разбор с поставщиком, контроль 100 % в течение 3 мес.",IF(G8="A","Сохранять, можно перевести на контроль по документам","")))</f>
        <v/>
      </c>
    </row>
    <row r="9">
      <c r="A9" s="24">
        <f>IF(Справочники!G9="","",Справочники!G9)</f>
        <v/>
      </c>
      <c r="B9" s="25">
        <f>IF(A9="","",COUNTIF(Журнал!$E$6:$E$505,A9))</f>
        <v/>
      </c>
      <c r="C9" s="25">
        <f>IF(A9="","",COUNTIFS(Журнал!$E$6:$E$505,A9,Журнал!$L$6:$L$505,"Забраковано"))</f>
        <v/>
      </c>
      <c r="D9" s="25">
        <f>IF(A9="","",COUNTIFS(Журнал!$E$6:$E$505,A9,Журнал!$L$6:$L$505,"Принято с отступлением"))</f>
        <v/>
      </c>
      <c r="E9" s="26">
        <f>IF(OR(A9="",N(B9)=0),"",C9/B9)</f>
        <v/>
      </c>
      <c r="F9" s="27">
        <f>IF(OR(A9="",N(B9)=0),"",IFERROR(AVERAGEIFS(Журнал!$P$6:$P$505,Журнал!$E$6:$E$505,A9),""))</f>
        <v/>
      </c>
      <c r="G9" s="28">
        <f>IF(E9="","",IF(E9&gt;=Справочники!$L$8,"C",IF(E9&gt;=Справочники!$L$7,"B","A")))</f>
        <v/>
      </c>
      <c r="H9" s="29">
        <f>IF(G9="C","Претензия, 8D от поставщика, усиленный контроль каждой партии",IF(G9="B","Разбор с поставщиком, контроль 100 % в течение 3 мес.",IF(G9="A","Сохранять, можно перевести на контроль по документам","")))</f>
        <v/>
      </c>
    </row>
    <row r="10">
      <c r="A10" s="24">
        <f>IF(Справочники!G10="","",Справочники!G10)</f>
        <v/>
      </c>
      <c r="B10" s="25">
        <f>IF(A10="","",COUNTIF(Журнал!$E$6:$E$505,A10))</f>
        <v/>
      </c>
      <c r="C10" s="25">
        <f>IF(A10="","",COUNTIFS(Журнал!$E$6:$E$505,A10,Журнал!$L$6:$L$505,"Забраковано"))</f>
        <v/>
      </c>
      <c r="D10" s="25">
        <f>IF(A10="","",COUNTIFS(Журнал!$E$6:$E$505,A10,Журнал!$L$6:$L$505,"Принято с отступлением"))</f>
        <v/>
      </c>
      <c r="E10" s="26">
        <f>IF(OR(A10="",N(B10)=0),"",C10/B10)</f>
        <v/>
      </c>
      <c r="F10" s="27">
        <f>IF(OR(A10="",N(B10)=0),"",IFERROR(AVERAGEIFS(Журнал!$P$6:$P$505,Журнал!$E$6:$E$505,A10),""))</f>
        <v/>
      </c>
      <c r="G10" s="28">
        <f>IF(E10="","",IF(E10&gt;=Справочники!$L$8,"C",IF(E10&gt;=Справочники!$L$7,"B","A")))</f>
        <v/>
      </c>
      <c r="H10" s="29">
        <f>IF(G10="C","Претензия, 8D от поставщика, усиленный контроль каждой партии",IF(G10="B","Разбор с поставщиком, контроль 100 % в течение 3 мес.",IF(G10="A","Сохранять, можно перевести на контроль по документам","")))</f>
        <v/>
      </c>
    </row>
    <row r="11">
      <c r="A11" s="24">
        <f>IF(Справочники!G11="","",Справочники!G11)</f>
        <v/>
      </c>
      <c r="B11" s="25">
        <f>IF(A11="","",COUNTIF(Журнал!$E$6:$E$505,A11))</f>
        <v/>
      </c>
      <c r="C11" s="25">
        <f>IF(A11="","",COUNTIFS(Журнал!$E$6:$E$505,A11,Журнал!$L$6:$L$505,"Забраковано"))</f>
        <v/>
      </c>
      <c r="D11" s="25">
        <f>IF(A11="","",COUNTIFS(Журнал!$E$6:$E$505,A11,Журнал!$L$6:$L$505,"Принято с отступлением"))</f>
        <v/>
      </c>
      <c r="E11" s="26">
        <f>IF(OR(A11="",N(B11)=0),"",C11/B11)</f>
        <v/>
      </c>
      <c r="F11" s="27">
        <f>IF(OR(A11="",N(B11)=0),"",IFERROR(AVERAGEIFS(Журнал!$P$6:$P$505,Журнал!$E$6:$E$505,A11),""))</f>
        <v/>
      </c>
      <c r="G11" s="28">
        <f>IF(E11="","",IF(E11&gt;=Справочники!$L$8,"C",IF(E11&gt;=Справочники!$L$7,"B","A")))</f>
        <v/>
      </c>
      <c r="H11" s="29">
        <f>IF(G11="C","Претензия, 8D от поставщика, усиленный контроль каждой партии",IF(G11="B","Разбор с поставщиком, контроль 100 % в течение 3 мес.",IF(G11="A","Сохранять, можно перевести на контроль по документам","")))</f>
        <v/>
      </c>
    </row>
    <row r="12">
      <c r="A12" s="24">
        <f>IF(Справочники!G12="","",Справочники!G12)</f>
        <v/>
      </c>
      <c r="B12" s="25">
        <f>IF(A12="","",COUNTIF(Журнал!$E$6:$E$505,A12))</f>
        <v/>
      </c>
      <c r="C12" s="25">
        <f>IF(A12="","",COUNTIFS(Журнал!$E$6:$E$505,A12,Журнал!$L$6:$L$505,"Забраковано"))</f>
        <v/>
      </c>
      <c r="D12" s="25">
        <f>IF(A12="","",COUNTIFS(Журнал!$E$6:$E$505,A12,Журнал!$L$6:$L$505,"Принято с отступлением"))</f>
        <v/>
      </c>
      <c r="E12" s="26">
        <f>IF(OR(A12="",N(B12)=0),"",C12/B12)</f>
        <v/>
      </c>
      <c r="F12" s="27">
        <f>IF(OR(A12="",N(B12)=0),"",IFERROR(AVERAGEIFS(Журнал!$P$6:$P$505,Журнал!$E$6:$E$505,A12),""))</f>
        <v/>
      </c>
      <c r="G12" s="28">
        <f>IF(E12="","",IF(E12&gt;=Справочники!$L$8,"C",IF(E12&gt;=Справочники!$L$7,"B","A")))</f>
        <v/>
      </c>
      <c r="H12" s="29">
        <f>IF(G12="C","Претензия, 8D от поставщика, усиленный контроль каждой партии",IF(G12="B","Разбор с поставщиком, контроль 100 % в течение 3 мес.",IF(G12="A","Сохранять, можно перевести на контроль по документам","")))</f>
        <v/>
      </c>
    </row>
    <row r="13">
      <c r="A13" s="24">
        <f>IF(Справочники!G13="","",Справочники!G13)</f>
        <v/>
      </c>
      <c r="B13" s="25">
        <f>IF(A13="","",COUNTIF(Журнал!$E$6:$E$505,A13))</f>
        <v/>
      </c>
      <c r="C13" s="25">
        <f>IF(A13="","",COUNTIFS(Журнал!$E$6:$E$505,A13,Журнал!$L$6:$L$505,"Забраковано"))</f>
        <v/>
      </c>
      <c r="D13" s="25">
        <f>IF(A13="","",COUNTIFS(Журнал!$E$6:$E$505,A13,Журнал!$L$6:$L$505,"Принято с отступлением"))</f>
        <v/>
      </c>
      <c r="E13" s="26">
        <f>IF(OR(A13="",N(B13)=0),"",C13/B13)</f>
        <v/>
      </c>
      <c r="F13" s="27">
        <f>IF(OR(A13="",N(B13)=0),"",IFERROR(AVERAGEIFS(Журнал!$P$6:$P$505,Журнал!$E$6:$E$505,A13),""))</f>
        <v/>
      </c>
      <c r="G13" s="28">
        <f>IF(E13="","",IF(E13&gt;=Справочники!$L$8,"C",IF(E13&gt;=Справочники!$L$7,"B","A")))</f>
        <v/>
      </c>
      <c r="H13" s="29">
        <f>IF(G13="C","Претензия, 8D от поставщика, усиленный контроль каждой партии",IF(G13="B","Разбор с поставщиком, контроль 100 % в течение 3 мес.",IF(G13="A","Сохранять, можно перевести на контроль по документам","")))</f>
        <v/>
      </c>
    </row>
    <row r="14">
      <c r="A14" s="24">
        <f>IF(Справочники!G14="","",Справочники!G14)</f>
        <v/>
      </c>
      <c r="B14" s="25">
        <f>IF(A14="","",COUNTIF(Журнал!$E$6:$E$505,A14))</f>
        <v/>
      </c>
      <c r="C14" s="25">
        <f>IF(A14="","",COUNTIFS(Журнал!$E$6:$E$505,A14,Журнал!$L$6:$L$505,"Забраковано"))</f>
        <v/>
      </c>
      <c r="D14" s="25">
        <f>IF(A14="","",COUNTIFS(Журнал!$E$6:$E$505,A14,Журнал!$L$6:$L$505,"Принято с отступлением"))</f>
        <v/>
      </c>
      <c r="E14" s="26">
        <f>IF(OR(A14="",N(B14)=0),"",C14/B14)</f>
        <v/>
      </c>
      <c r="F14" s="27">
        <f>IF(OR(A14="",N(B14)=0),"",IFERROR(AVERAGEIFS(Журнал!$P$6:$P$505,Журнал!$E$6:$E$505,A14),""))</f>
        <v/>
      </c>
      <c r="G14" s="28">
        <f>IF(E14="","",IF(E14&gt;=Справочники!$L$8,"C",IF(E14&gt;=Справочники!$L$7,"B","A")))</f>
        <v/>
      </c>
      <c r="H14" s="29">
        <f>IF(G14="C","Претензия, 8D от поставщика, усиленный контроль каждой партии",IF(G14="B","Разбор с поставщиком, контроль 100 % в течение 3 мес.",IF(G14="A","Сохранять, можно перевести на контроль по документам","")))</f>
        <v/>
      </c>
    </row>
    <row r="15">
      <c r="A15" s="24">
        <f>IF(Справочники!G15="","",Справочники!G15)</f>
        <v/>
      </c>
      <c r="B15" s="25">
        <f>IF(A15="","",COUNTIF(Журнал!$E$6:$E$505,A15))</f>
        <v/>
      </c>
      <c r="C15" s="25">
        <f>IF(A15="","",COUNTIFS(Журнал!$E$6:$E$505,A15,Журнал!$L$6:$L$505,"Забраковано"))</f>
        <v/>
      </c>
      <c r="D15" s="25">
        <f>IF(A15="","",COUNTIFS(Журнал!$E$6:$E$505,A15,Журнал!$L$6:$L$505,"Принято с отступлением"))</f>
        <v/>
      </c>
      <c r="E15" s="26">
        <f>IF(OR(A15="",N(B15)=0),"",C15/B15)</f>
        <v/>
      </c>
      <c r="F15" s="27">
        <f>IF(OR(A15="",N(B15)=0),"",IFERROR(AVERAGEIFS(Журнал!$P$6:$P$505,Журнал!$E$6:$E$505,A15),""))</f>
        <v/>
      </c>
      <c r="G15" s="28">
        <f>IF(E15="","",IF(E15&gt;=Справочники!$L$8,"C",IF(E15&gt;=Справочники!$L$7,"B","A")))</f>
        <v/>
      </c>
      <c r="H15" s="29">
        <f>IF(G15="C","Претензия, 8D от поставщика, усиленный контроль каждой партии",IF(G15="B","Разбор с поставщиком, контроль 100 % в течение 3 мес.",IF(G15="A","Сохранять, можно перевести на контроль по документам","")))</f>
        <v/>
      </c>
    </row>
    <row r="16">
      <c r="A16" s="24">
        <f>IF(Справочники!G16="","",Справочники!G16)</f>
        <v/>
      </c>
      <c r="B16" s="25">
        <f>IF(A16="","",COUNTIF(Журнал!$E$6:$E$505,A16))</f>
        <v/>
      </c>
      <c r="C16" s="25">
        <f>IF(A16="","",COUNTIFS(Журнал!$E$6:$E$505,A16,Журнал!$L$6:$L$505,"Забраковано"))</f>
        <v/>
      </c>
      <c r="D16" s="25">
        <f>IF(A16="","",COUNTIFS(Журнал!$E$6:$E$505,A16,Журнал!$L$6:$L$505,"Принято с отступлением"))</f>
        <v/>
      </c>
      <c r="E16" s="26">
        <f>IF(OR(A16="",N(B16)=0),"",C16/B16)</f>
        <v/>
      </c>
      <c r="F16" s="27">
        <f>IF(OR(A16="",N(B16)=0),"",IFERROR(AVERAGEIFS(Журнал!$P$6:$P$505,Журнал!$E$6:$E$505,A16),""))</f>
        <v/>
      </c>
      <c r="G16" s="28">
        <f>IF(E16="","",IF(E16&gt;=Справочники!$L$8,"C",IF(E16&gt;=Справочники!$L$7,"B","A")))</f>
        <v/>
      </c>
      <c r="H16" s="29">
        <f>IF(G16="C","Претензия, 8D от поставщика, усиленный контроль каждой партии",IF(G16="B","Разбор с поставщиком, контроль 100 % в течение 3 мес.",IF(G16="A","Сохранять, можно перевести на контроль по документам","")))</f>
        <v/>
      </c>
    </row>
    <row r="17">
      <c r="A17" s="24">
        <f>IF(Справочники!G17="","",Справочники!G17)</f>
        <v/>
      </c>
      <c r="B17" s="25">
        <f>IF(A17="","",COUNTIF(Журнал!$E$6:$E$505,A17))</f>
        <v/>
      </c>
      <c r="C17" s="25">
        <f>IF(A17="","",COUNTIFS(Журнал!$E$6:$E$505,A17,Журнал!$L$6:$L$505,"Забраковано"))</f>
        <v/>
      </c>
      <c r="D17" s="25">
        <f>IF(A17="","",COUNTIFS(Журнал!$E$6:$E$505,A17,Журнал!$L$6:$L$505,"Принято с отступлением"))</f>
        <v/>
      </c>
      <c r="E17" s="26">
        <f>IF(OR(A17="",N(B17)=0),"",C17/B17)</f>
        <v/>
      </c>
      <c r="F17" s="27">
        <f>IF(OR(A17="",N(B17)=0),"",IFERROR(AVERAGEIFS(Журнал!$P$6:$P$505,Журнал!$E$6:$E$505,A17),""))</f>
        <v/>
      </c>
      <c r="G17" s="28">
        <f>IF(E17="","",IF(E17&gt;=Справочники!$L$8,"C",IF(E17&gt;=Справочники!$L$7,"B","A")))</f>
        <v/>
      </c>
      <c r="H17" s="29">
        <f>IF(G17="C","Претензия, 8D от поставщика, усиленный контроль каждой партии",IF(G17="B","Разбор с поставщиком, контроль 100 % в течение 3 мес.",IF(G17="A","Сохранять, можно перевести на контроль по документам","")))</f>
        <v/>
      </c>
    </row>
    <row r="18">
      <c r="A18" s="24">
        <f>IF(Справочники!G18="","",Справочники!G18)</f>
        <v/>
      </c>
      <c r="B18" s="25">
        <f>IF(A18="","",COUNTIF(Журнал!$E$6:$E$505,A18))</f>
        <v/>
      </c>
      <c r="C18" s="25">
        <f>IF(A18="","",COUNTIFS(Журнал!$E$6:$E$505,A18,Журнал!$L$6:$L$505,"Забраковано"))</f>
        <v/>
      </c>
      <c r="D18" s="25">
        <f>IF(A18="","",COUNTIFS(Журнал!$E$6:$E$505,A18,Журнал!$L$6:$L$505,"Принято с отступлением"))</f>
        <v/>
      </c>
      <c r="E18" s="26">
        <f>IF(OR(A18="",N(B18)=0),"",C18/B18)</f>
        <v/>
      </c>
      <c r="F18" s="27">
        <f>IF(OR(A18="",N(B18)=0),"",IFERROR(AVERAGEIFS(Журнал!$P$6:$P$505,Журнал!$E$6:$E$505,A18),""))</f>
        <v/>
      </c>
      <c r="G18" s="28">
        <f>IF(E18="","",IF(E18&gt;=Справочники!$L$8,"C",IF(E18&gt;=Справочники!$L$7,"B","A")))</f>
        <v/>
      </c>
      <c r="H18" s="29">
        <f>IF(G18="C","Претензия, 8D от поставщика, усиленный контроль каждой партии",IF(G18="B","Разбор с поставщиком, контроль 100 % в течение 3 мес.",IF(G18="A","Сохранять, можно перевести на контроль по документам","")))</f>
        <v/>
      </c>
    </row>
    <row r="19">
      <c r="A19" s="24">
        <f>IF(Справочники!G19="","",Справочники!G19)</f>
        <v/>
      </c>
      <c r="B19" s="25">
        <f>IF(A19="","",COUNTIF(Журнал!$E$6:$E$505,A19))</f>
        <v/>
      </c>
      <c r="C19" s="25">
        <f>IF(A19="","",COUNTIFS(Журнал!$E$6:$E$505,A19,Журнал!$L$6:$L$505,"Забраковано"))</f>
        <v/>
      </c>
      <c r="D19" s="25">
        <f>IF(A19="","",COUNTIFS(Журнал!$E$6:$E$505,A19,Журнал!$L$6:$L$505,"Принято с отступлением"))</f>
        <v/>
      </c>
      <c r="E19" s="26">
        <f>IF(OR(A19="",N(B19)=0),"",C19/B19)</f>
        <v/>
      </c>
      <c r="F19" s="27">
        <f>IF(OR(A19="",N(B19)=0),"",IFERROR(AVERAGEIFS(Журнал!$P$6:$P$505,Журнал!$E$6:$E$505,A19),""))</f>
        <v/>
      </c>
      <c r="G19" s="28">
        <f>IF(E19="","",IF(E19&gt;=Справочники!$L$8,"C",IF(E19&gt;=Справочники!$L$7,"B","A")))</f>
        <v/>
      </c>
      <c r="H19" s="29">
        <f>IF(G19="C","Претензия, 8D от поставщика, усиленный контроль каждой партии",IF(G19="B","Разбор с поставщиком, контроль 100 % в течение 3 мес.",IF(G19="A","Сохранять, можно перевести на контроль по документам","")))</f>
        <v/>
      </c>
    </row>
    <row r="20">
      <c r="A20" s="24">
        <f>IF(Справочники!G20="","",Справочники!G20)</f>
        <v/>
      </c>
      <c r="B20" s="25">
        <f>IF(A20="","",COUNTIF(Журнал!$E$6:$E$505,A20))</f>
        <v/>
      </c>
      <c r="C20" s="25">
        <f>IF(A20="","",COUNTIFS(Журнал!$E$6:$E$505,A20,Журнал!$L$6:$L$505,"Забраковано"))</f>
        <v/>
      </c>
      <c r="D20" s="25">
        <f>IF(A20="","",COUNTIFS(Журнал!$E$6:$E$505,A20,Журнал!$L$6:$L$505,"Принято с отступлением"))</f>
        <v/>
      </c>
      <c r="E20" s="26">
        <f>IF(OR(A20="",N(B20)=0),"",C20/B20)</f>
        <v/>
      </c>
      <c r="F20" s="27">
        <f>IF(OR(A20="",N(B20)=0),"",IFERROR(AVERAGEIFS(Журнал!$P$6:$P$505,Журнал!$E$6:$E$505,A20),""))</f>
        <v/>
      </c>
      <c r="G20" s="28">
        <f>IF(E20="","",IF(E20&gt;=Справочники!$L$8,"C",IF(E20&gt;=Справочники!$L$7,"B","A")))</f>
        <v/>
      </c>
      <c r="H20" s="29">
        <f>IF(G20="C","Претензия, 8D от поставщика, усиленный контроль каждой партии",IF(G20="B","Разбор с поставщиком, контроль 100 % в течение 3 мес.",IF(G20="A","Сохранять, можно перевести на контроль по документам","")))</f>
        <v/>
      </c>
    </row>
    <row r="21">
      <c r="A21" s="24">
        <f>IF(Справочники!G21="","",Справочники!G21)</f>
        <v/>
      </c>
      <c r="B21" s="25">
        <f>IF(A21="","",COUNTIF(Журнал!$E$6:$E$505,A21))</f>
        <v/>
      </c>
      <c r="C21" s="25">
        <f>IF(A21="","",COUNTIFS(Журнал!$E$6:$E$505,A21,Журнал!$L$6:$L$505,"Забраковано"))</f>
        <v/>
      </c>
      <c r="D21" s="25">
        <f>IF(A21="","",COUNTIFS(Журнал!$E$6:$E$505,A21,Журнал!$L$6:$L$505,"Принято с отступлением"))</f>
        <v/>
      </c>
      <c r="E21" s="26">
        <f>IF(OR(A21="",N(B21)=0),"",C21/B21)</f>
        <v/>
      </c>
      <c r="F21" s="27">
        <f>IF(OR(A21="",N(B21)=0),"",IFERROR(AVERAGEIFS(Журнал!$P$6:$P$505,Журнал!$E$6:$E$505,A21),""))</f>
        <v/>
      </c>
      <c r="G21" s="28">
        <f>IF(E21="","",IF(E21&gt;=Справочники!$L$8,"C",IF(E21&gt;=Справочники!$L$7,"B","A")))</f>
        <v/>
      </c>
      <c r="H21" s="29">
        <f>IF(G21="C","Претензия, 8D от поставщика, усиленный контроль каждой партии",IF(G21="B","Разбор с поставщиком, контроль 100 % в течение 3 мес.",IF(G21="A","Сохранять, можно перевести на контроль по документам","")))</f>
        <v/>
      </c>
    </row>
    <row r="22">
      <c r="A22" s="24">
        <f>IF(Справочники!G22="","",Справочники!G22)</f>
        <v/>
      </c>
      <c r="B22" s="25">
        <f>IF(A22="","",COUNTIF(Журнал!$E$6:$E$505,A22))</f>
        <v/>
      </c>
      <c r="C22" s="25">
        <f>IF(A22="","",COUNTIFS(Журнал!$E$6:$E$505,A22,Журнал!$L$6:$L$505,"Забраковано"))</f>
        <v/>
      </c>
      <c r="D22" s="25">
        <f>IF(A22="","",COUNTIFS(Журнал!$E$6:$E$505,A22,Журнал!$L$6:$L$505,"Принято с отступлением"))</f>
        <v/>
      </c>
      <c r="E22" s="26">
        <f>IF(OR(A22="",N(B22)=0),"",C22/B22)</f>
        <v/>
      </c>
      <c r="F22" s="27">
        <f>IF(OR(A22="",N(B22)=0),"",IFERROR(AVERAGEIFS(Журнал!$P$6:$P$505,Журнал!$E$6:$E$505,A22),""))</f>
        <v/>
      </c>
      <c r="G22" s="28">
        <f>IF(E22="","",IF(E22&gt;=Справочники!$L$8,"C",IF(E22&gt;=Справочники!$L$7,"B","A")))</f>
        <v/>
      </c>
      <c r="H22" s="29">
        <f>IF(G22="C","Претензия, 8D от поставщика, усиленный контроль каждой партии",IF(G22="B","Разбор с поставщиком, контроль 100 % в течение 3 мес.",IF(G22="A","Сохранять, можно перевести на контроль по документам","")))</f>
        <v/>
      </c>
    </row>
    <row r="23">
      <c r="A23" s="24">
        <f>IF(Справочники!G23="","",Справочники!G23)</f>
        <v/>
      </c>
      <c r="B23" s="25">
        <f>IF(A23="","",COUNTIF(Журнал!$E$6:$E$505,A23))</f>
        <v/>
      </c>
      <c r="C23" s="25">
        <f>IF(A23="","",COUNTIFS(Журнал!$E$6:$E$505,A23,Журнал!$L$6:$L$505,"Забраковано"))</f>
        <v/>
      </c>
      <c r="D23" s="25">
        <f>IF(A23="","",COUNTIFS(Журнал!$E$6:$E$505,A23,Журнал!$L$6:$L$505,"Принято с отступлением"))</f>
        <v/>
      </c>
      <c r="E23" s="26">
        <f>IF(OR(A23="",N(B23)=0),"",C23/B23)</f>
        <v/>
      </c>
      <c r="F23" s="27">
        <f>IF(OR(A23="",N(B23)=0),"",IFERROR(AVERAGEIFS(Журнал!$P$6:$P$505,Журнал!$E$6:$E$505,A23),""))</f>
        <v/>
      </c>
      <c r="G23" s="28">
        <f>IF(E23="","",IF(E23&gt;=Справочники!$L$8,"C",IF(E23&gt;=Справочники!$L$7,"B","A")))</f>
        <v/>
      </c>
      <c r="H23" s="29">
        <f>IF(G23="C","Претензия, 8D от поставщика, усиленный контроль каждой партии",IF(G23="B","Разбор с поставщиком, контроль 100 % в течение 3 мес.",IF(G23="A","Сохранять, можно перевести на контроль по документам","")))</f>
        <v/>
      </c>
    </row>
    <row r="24">
      <c r="A24" s="24">
        <f>IF(Справочники!G24="","",Справочники!G24)</f>
        <v/>
      </c>
      <c r="B24" s="25">
        <f>IF(A24="","",COUNTIF(Журнал!$E$6:$E$505,A24))</f>
        <v/>
      </c>
      <c r="C24" s="25">
        <f>IF(A24="","",COUNTIFS(Журнал!$E$6:$E$505,A24,Журнал!$L$6:$L$505,"Забраковано"))</f>
        <v/>
      </c>
      <c r="D24" s="25">
        <f>IF(A24="","",COUNTIFS(Журнал!$E$6:$E$505,A24,Журнал!$L$6:$L$505,"Принято с отступлением"))</f>
        <v/>
      </c>
      <c r="E24" s="26">
        <f>IF(OR(A24="",N(B24)=0),"",C24/B24)</f>
        <v/>
      </c>
      <c r="F24" s="27">
        <f>IF(OR(A24="",N(B24)=0),"",IFERROR(AVERAGEIFS(Журнал!$P$6:$P$505,Журнал!$E$6:$E$505,A24),""))</f>
        <v/>
      </c>
      <c r="G24" s="28">
        <f>IF(E24="","",IF(E24&gt;=Справочники!$L$8,"C",IF(E24&gt;=Справочники!$L$7,"B","A")))</f>
        <v/>
      </c>
      <c r="H24" s="29">
        <f>IF(G24="C","Претензия, 8D от поставщика, усиленный контроль каждой партии",IF(G24="B","Разбор с поставщиком, контроль 100 % в течение 3 мес.",IF(G24="A","Сохранять, можно перевести на контроль по документам","")))</f>
        <v/>
      </c>
    </row>
    <row r="25">
      <c r="A25" s="24">
        <f>IF(Справочники!G25="","",Справочники!G25)</f>
        <v/>
      </c>
      <c r="B25" s="25">
        <f>IF(A25="","",COUNTIF(Журнал!$E$6:$E$505,A25))</f>
        <v/>
      </c>
      <c r="C25" s="25">
        <f>IF(A25="","",COUNTIFS(Журнал!$E$6:$E$505,A25,Журнал!$L$6:$L$505,"Забраковано"))</f>
        <v/>
      </c>
      <c r="D25" s="25">
        <f>IF(A25="","",COUNTIFS(Журнал!$E$6:$E$505,A25,Журнал!$L$6:$L$505,"Принято с отступлением"))</f>
        <v/>
      </c>
      <c r="E25" s="26">
        <f>IF(OR(A25="",N(B25)=0),"",C25/B25)</f>
        <v/>
      </c>
      <c r="F25" s="27">
        <f>IF(OR(A25="",N(B25)=0),"",IFERROR(AVERAGEIFS(Журнал!$P$6:$P$505,Журнал!$E$6:$E$505,A25),""))</f>
        <v/>
      </c>
      <c r="G25" s="28">
        <f>IF(E25="","",IF(E25&gt;=Справочники!$L$8,"C",IF(E25&gt;=Справочники!$L$7,"B","A")))</f>
        <v/>
      </c>
      <c r="H25" s="29">
        <f>IF(G25="C","Претензия, 8D от поставщика, усиленный контроль каждой партии",IF(G25="B","Разбор с поставщиком, контроль 100 % в течение 3 мес.",IF(G25="A","Сохранять, можно перевести на контроль по документам","")))</f>
        <v/>
      </c>
    </row>
    <row r="26">
      <c r="A26" s="24">
        <f>IF(Справочники!G26="","",Справочники!G26)</f>
        <v/>
      </c>
      <c r="B26" s="25">
        <f>IF(A26="","",COUNTIF(Журнал!$E$6:$E$505,A26))</f>
        <v/>
      </c>
      <c r="C26" s="25">
        <f>IF(A26="","",COUNTIFS(Журнал!$E$6:$E$505,A26,Журнал!$L$6:$L$505,"Забраковано"))</f>
        <v/>
      </c>
      <c r="D26" s="25">
        <f>IF(A26="","",COUNTIFS(Журнал!$E$6:$E$505,A26,Журнал!$L$6:$L$505,"Принято с отступлением"))</f>
        <v/>
      </c>
      <c r="E26" s="26">
        <f>IF(OR(A26="",N(B26)=0),"",C26/B26)</f>
        <v/>
      </c>
      <c r="F26" s="27">
        <f>IF(OR(A26="",N(B26)=0),"",IFERROR(AVERAGEIFS(Журнал!$P$6:$P$505,Журнал!$E$6:$E$505,A26),""))</f>
        <v/>
      </c>
      <c r="G26" s="28">
        <f>IF(E26="","",IF(E26&gt;=Справочники!$L$8,"C",IF(E26&gt;=Справочники!$L$7,"B","A")))</f>
        <v/>
      </c>
      <c r="H26" s="29">
        <f>IF(G26="C","Претензия, 8D от поставщика, усиленный контроль каждой партии",IF(G26="B","Разбор с поставщиком, контроль 100 % в течение 3 мес.",IF(G26="A","Сохранять, можно перевести на контроль по документам","")))</f>
        <v/>
      </c>
    </row>
    <row r="27">
      <c r="A27" s="24">
        <f>IF(Справочники!G27="","",Справочники!G27)</f>
        <v/>
      </c>
      <c r="B27" s="25">
        <f>IF(A27="","",COUNTIF(Журнал!$E$6:$E$505,A27))</f>
        <v/>
      </c>
      <c r="C27" s="25">
        <f>IF(A27="","",COUNTIFS(Журнал!$E$6:$E$505,A27,Журнал!$L$6:$L$505,"Забраковано"))</f>
        <v/>
      </c>
      <c r="D27" s="25">
        <f>IF(A27="","",COUNTIFS(Журнал!$E$6:$E$505,A27,Журнал!$L$6:$L$505,"Принято с отступлением"))</f>
        <v/>
      </c>
      <c r="E27" s="26">
        <f>IF(OR(A27="",N(B27)=0),"",C27/B27)</f>
        <v/>
      </c>
      <c r="F27" s="27">
        <f>IF(OR(A27="",N(B27)=0),"",IFERROR(AVERAGEIFS(Журнал!$P$6:$P$505,Журнал!$E$6:$E$505,A27),""))</f>
        <v/>
      </c>
      <c r="G27" s="28">
        <f>IF(E27="","",IF(E27&gt;=Справочники!$L$8,"C",IF(E27&gt;=Справочники!$L$7,"B","A")))</f>
        <v/>
      </c>
      <c r="H27" s="29">
        <f>IF(G27="C","Претензия, 8D от поставщика, усиленный контроль каждой партии",IF(G27="B","Разбор с поставщиком, контроль 100 % в течение 3 мес.",IF(G27="A","Сохранять, можно перевести на контроль по документам","")))</f>
        <v/>
      </c>
    </row>
    <row r="28">
      <c r="A28" s="24">
        <f>IF(Справочники!G28="","",Справочники!G28)</f>
        <v/>
      </c>
      <c r="B28" s="25">
        <f>IF(A28="","",COUNTIF(Журнал!$E$6:$E$505,A28))</f>
        <v/>
      </c>
      <c r="C28" s="25">
        <f>IF(A28="","",COUNTIFS(Журнал!$E$6:$E$505,A28,Журнал!$L$6:$L$505,"Забраковано"))</f>
        <v/>
      </c>
      <c r="D28" s="25">
        <f>IF(A28="","",COUNTIFS(Журнал!$E$6:$E$505,A28,Журнал!$L$6:$L$505,"Принято с отступлением"))</f>
        <v/>
      </c>
      <c r="E28" s="26">
        <f>IF(OR(A28="",N(B28)=0),"",C28/B28)</f>
        <v/>
      </c>
      <c r="F28" s="27">
        <f>IF(OR(A28="",N(B28)=0),"",IFERROR(AVERAGEIFS(Журнал!$P$6:$P$505,Журнал!$E$6:$E$505,A28),""))</f>
        <v/>
      </c>
      <c r="G28" s="28">
        <f>IF(E28="","",IF(E28&gt;=Справочники!$L$8,"C",IF(E28&gt;=Справочники!$L$7,"B","A")))</f>
        <v/>
      </c>
      <c r="H28" s="29">
        <f>IF(G28="C","Претензия, 8D от поставщика, усиленный контроль каждой партии",IF(G28="B","Разбор с поставщиком, контроль 100 % в течение 3 мес.",IF(G28="A","Сохранять, можно перевести на контроль по документам","")))</f>
        <v/>
      </c>
    </row>
    <row r="29">
      <c r="A29" s="24">
        <f>IF(Справочники!G29="","",Справочники!G29)</f>
        <v/>
      </c>
      <c r="B29" s="25">
        <f>IF(A29="","",COUNTIF(Журнал!$E$6:$E$505,A29))</f>
        <v/>
      </c>
      <c r="C29" s="25">
        <f>IF(A29="","",COUNTIFS(Журнал!$E$6:$E$505,A29,Журнал!$L$6:$L$505,"Забраковано"))</f>
        <v/>
      </c>
      <c r="D29" s="25">
        <f>IF(A29="","",COUNTIFS(Журнал!$E$6:$E$505,A29,Журнал!$L$6:$L$505,"Принято с отступлением"))</f>
        <v/>
      </c>
      <c r="E29" s="26">
        <f>IF(OR(A29="",N(B29)=0),"",C29/B29)</f>
        <v/>
      </c>
      <c r="F29" s="27">
        <f>IF(OR(A29="",N(B29)=0),"",IFERROR(AVERAGEIFS(Журнал!$P$6:$P$505,Журнал!$E$6:$E$505,A29),""))</f>
        <v/>
      </c>
      <c r="G29" s="28">
        <f>IF(E29="","",IF(E29&gt;=Справочники!$L$8,"C",IF(E29&gt;=Справочники!$L$7,"B","A")))</f>
        <v/>
      </c>
      <c r="H29" s="29">
        <f>IF(G29="C","Претензия, 8D от поставщика, усиленный контроль каждой партии",IF(G29="B","Разбор с поставщиком, контроль 100 % в течение 3 мес.",IF(G29="A","Сохранять, можно перевести на контроль по документам","")))</f>
        <v/>
      </c>
    </row>
    <row r="30">
      <c r="A30" s="24">
        <f>IF(Справочники!G30="","",Справочники!G30)</f>
        <v/>
      </c>
      <c r="B30" s="25">
        <f>IF(A30="","",COUNTIF(Журнал!$E$6:$E$505,A30))</f>
        <v/>
      </c>
      <c r="C30" s="25">
        <f>IF(A30="","",COUNTIFS(Журнал!$E$6:$E$505,A30,Журнал!$L$6:$L$505,"Забраковано"))</f>
        <v/>
      </c>
      <c r="D30" s="25">
        <f>IF(A30="","",COUNTIFS(Журнал!$E$6:$E$505,A30,Журнал!$L$6:$L$505,"Принято с отступлением"))</f>
        <v/>
      </c>
      <c r="E30" s="26">
        <f>IF(OR(A30="",N(B30)=0),"",C30/B30)</f>
        <v/>
      </c>
      <c r="F30" s="27">
        <f>IF(OR(A30="",N(B30)=0),"",IFERROR(AVERAGEIFS(Журнал!$P$6:$P$505,Журнал!$E$6:$E$505,A30),""))</f>
        <v/>
      </c>
      <c r="G30" s="28">
        <f>IF(E30="","",IF(E30&gt;=Справочники!$L$8,"C",IF(E30&gt;=Справочники!$L$7,"B","A")))</f>
        <v/>
      </c>
      <c r="H30" s="29">
        <f>IF(G30="C","Претензия, 8D от поставщика, усиленный контроль каждой партии",IF(G30="B","Разбор с поставщиком, контроль 100 % в течение 3 мес.",IF(G30="A","Сохранять, можно перевести на контроль по документам","")))</f>
        <v/>
      </c>
    </row>
    <row r="31">
      <c r="A31" s="24">
        <f>IF(Справочники!G31="","",Справочники!G31)</f>
        <v/>
      </c>
      <c r="B31" s="25">
        <f>IF(A31="","",COUNTIF(Журнал!$E$6:$E$505,A31))</f>
        <v/>
      </c>
      <c r="C31" s="25">
        <f>IF(A31="","",COUNTIFS(Журнал!$E$6:$E$505,A31,Журнал!$L$6:$L$505,"Забраковано"))</f>
        <v/>
      </c>
      <c r="D31" s="25">
        <f>IF(A31="","",COUNTIFS(Журнал!$E$6:$E$505,A31,Журнал!$L$6:$L$505,"Принято с отступлением"))</f>
        <v/>
      </c>
      <c r="E31" s="26">
        <f>IF(OR(A31="",N(B31)=0),"",C31/B31)</f>
        <v/>
      </c>
      <c r="F31" s="27">
        <f>IF(OR(A31="",N(B31)=0),"",IFERROR(AVERAGEIFS(Журнал!$P$6:$P$505,Журнал!$E$6:$E$505,A31),""))</f>
        <v/>
      </c>
      <c r="G31" s="28">
        <f>IF(E31="","",IF(E31&gt;=Справочники!$L$8,"C",IF(E31&gt;=Справочники!$L$7,"B","A")))</f>
        <v/>
      </c>
      <c r="H31" s="29">
        <f>IF(G31="C","Претензия, 8D от поставщика, усиленный контроль каждой партии",IF(G31="B","Разбор с поставщиком, контроль 100 % в течение 3 мес.",IF(G31="A","Сохранять, можно перевести на контроль по документам","")))</f>
        <v/>
      </c>
    </row>
    <row r="32">
      <c r="A32" s="24">
        <f>IF(Справочники!G32="","",Справочники!G32)</f>
        <v/>
      </c>
      <c r="B32" s="25">
        <f>IF(A32="","",COUNTIF(Журнал!$E$6:$E$505,A32))</f>
        <v/>
      </c>
      <c r="C32" s="25">
        <f>IF(A32="","",COUNTIFS(Журнал!$E$6:$E$505,A32,Журнал!$L$6:$L$505,"Забраковано"))</f>
        <v/>
      </c>
      <c r="D32" s="25">
        <f>IF(A32="","",COUNTIFS(Журнал!$E$6:$E$505,A32,Журнал!$L$6:$L$505,"Принято с отступлением"))</f>
        <v/>
      </c>
      <c r="E32" s="26">
        <f>IF(OR(A32="",N(B32)=0),"",C32/B32)</f>
        <v/>
      </c>
      <c r="F32" s="27">
        <f>IF(OR(A32="",N(B32)=0),"",IFERROR(AVERAGEIFS(Журнал!$P$6:$P$505,Журнал!$E$6:$E$505,A32),""))</f>
        <v/>
      </c>
      <c r="G32" s="28">
        <f>IF(E32="","",IF(E32&gt;=Справочники!$L$8,"C",IF(E32&gt;=Справочники!$L$7,"B","A")))</f>
        <v/>
      </c>
      <c r="H32" s="29">
        <f>IF(G32="C","Претензия, 8D от поставщика, усиленный контроль каждой партии",IF(G32="B","Разбор с поставщиком, контроль 100 % в течение 3 мес.",IF(G32="A","Сохранять, можно перевести на контроль по документам","")))</f>
        <v/>
      </c>
    </row>
    <row r="33">
      <c r="A33" s="24">
        <f>IF(Справочники!G33="","",Справочники!G33)</f>
        <v/>
      </c>
      <c r="B33" s="25">
        <f>IF(A33="","",COUNTIF(Журнал!$E$6:$E$505,A33))</f>
        <v/>
      </c>
      <c r="C33" s="25">
        <f>IF(A33="","",COUNTIFS(Журнал!$E$6:$E$505,A33,Журнал!$L$6:$L$505,"Забраковано"))</f>
        <v/>
      </c>
      <c r="D33" s="25">
        <f>IF(A33="","",COUNTIFS(Журнал!$E$6:$E$505,A33,Журнал!$L$6:$L$505,"Принято с отступлением"))</f>
        <v/>
      </c>
      <c r="E33" s="26">
        <f>IF(OR(A33="",N(B33)=0),"",C33/B33)</f>
        <v/>
      </c>
      <c r="F33" s="27">
        <f>IF(OR(A33="",N(B33)=0),"",IFERROR(AVERAGEIFS(Журнал!$P$6:$P$505,Журнал!$E$6:$E$505,A33),""))</f>
        <v/>
      </c>
      <c r="G33" s="28">
        <f>IF(E33="","",IF(E33&gt;=Справочники!$L$8,"C",IF(E33&gt;=Справочники!$L$7,"B","A")))</f>
        <v/>
      </c>
      <c r="H33" s="29">
        <f>IF(G33="C","Претензия, 8D от поставщика, усиленный контроль каждой партии",IF(G33="B","Разбор с поставщиком, контроль 100 % в течение 3 мес.",IF(G33="A","Сохранять, можно перевести на контроль по документам","")))</f>
        <v/>
      </c>
    </row>
    <row r="34">
      <c r="A34" s="24">
        <f>IF(Справочники!G34="","",Справочники!G34)</f>
        <v/>
      </c>
      <c r="B34" s="25">
        <f>IF(A34="","",COUNTIF(Журнал!$E$6:$E$505,A34))</f>
        <v/>
      </c>
      <c r="C34" s="25">
        <f>IF(A34="","",COUNTIFS(Журнал!$E$6:$E$505,A34,Журнал!$L$6:$L$505,"Забраковано"))</f>
        <v/>
      </c>
      <c r="D34" s="25">
        <f>IF(A34="","",COUNTIFS(Журнал!$E$6:$E$505,A34,Журнал!$L$6:$L$505,"Принято с отступлением"))</f>
        <v/>
      </c>
      <c r="E34" s="26">
        <f>IF(OR(A34="",N(B34)=0),"",C34/B34)</f>
        <v/>
      </c>
      <c r="F34" s="27">
        <f>IF(OR(A34="",N(B34)=0),"",IFERROR(AVERAGEIFS(Журнал!$P$6:$P$505,Журнал!$E$6:$E$505,A34),""))</f>
        <v/>
      </c>
      <c r="G34" s="28">
        <f>IF(E34="","",IF(E34&gt;=Справочники!$L$8,"C",IF(E34&gt;=Справочники!$L$7,"B","A")))</f>
        <v/>
      </c>
      <c r="H34" s="29">
        <f>IF(G34="C","Претензия, 8D от поставщика, усиленный контроль каждой партии",IF(G34="B","Разбор с поставщиком, контроль 100 % в течение 3 мес.",IF(G34="A","Сохранять, можно перевести на контроль по документам","")))</f>
        <v/>
      </c>
    </row>
    <row r="35">
      <c r="A35" s="24">
        <f>IF(Справочники!G35="","",Справочники!G35)</f>
        <v/>
      </c>
      <c r="B35" s="25">
        <f>IF(A35="","",COUNTIF(Журнал!$E$6:$E$505,A35))</f>
        <v/>
      </c>
      <c r="C35" s="25">
        <f>IF(A35="","",COUNTIFS(Журнал!$E$6:$E$505,A35,Журнал!$L$6:$L$505,"Забраковано"))</f>
        <v/>
      </c>
      <c r="D35" s="25">
        <f>IF(A35="","",COUNTIFS(Журнал!$E$6:$E$505,A35,Журнал!$L$6:$L$505,"Принято с отступлением"))</f>
        <v/>
      </c>
      <c r="E35" s="26">
        <f>IF(OR(A35="",N(B35)=0),"",C35/B35)</f>
        <v/>
      </c>
      <c r="F35" s="27">
        <f>IF(OR(A35="",N(B35)=0),"",IFERROR(AVERAGEIFS(Журнал!$P$6:$P$505,Журнал!$E$6:$E$505,A35),""))</f>
        <v/>
      </c>
      <c r="G35" s="28">
        <f>IF(E35="","",IF(E35&gt;=Справочники!$L$8,"C",IF(E35&gt;=Справочники!$L$7,"B","A")))</f>
        <v/>
      </c>
      <c r="H35" s="29">
        <f>IF(G35="C","Претензия, 8D от поставщика, усиленный контроль каждой партии",IF(G35="B","Разбор с поставщиком, контроль 100 % в течение 3 мес.",IF(G35="A","Сохранять, можно перевести на контроль по документам","")))</f>
        <v/>
      </c>
    </row>
  </sheetData>
  <conditionalFormatting sqref="G6:G35">
    <cfRule type="cellIs" priority="1" operator="equal" dxfId="3">
      <formula>"A"</formula>
    </cfRule>
    <cfRule type="cellIs" priority="2" operator="equal" dxfId="5">
      <formula>"B"</formula>
    </cfRule>
    <cfRule type="cellIs" priority="3" operator="equal" dxfId="4">
      <formula>"C"</formula>
    </cfRule>
  </conditionalFormatting>
  <conditionalFormatting sqref="E6:E35">
    <cfRule type="dataBar" priority="4">
      <dataBar>
        <cfvo type="num" val="0"/>
        <cfvo type="max"/>
        <color rgb="00FF7C80"/>
      </dataBar>
    </cfRule>
  </conditionalFormatting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BF9000"/>
    <outlinePr summaryBelow="1" summaryRight="1"/>
    <pageSetUpPr/>
  </sheetPr>
  <dimension ref="A1:L4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7" customWidth="1" min="3" max="3"/>
    <col width="10" customWidth="1" min="4" max="4"/>
    <col width="70" customWidth="1" min="5" max="5"/>
    <col width="30" customWidth="1" min="7" max="7"/>
    <col width="14" customWidth="1" min="8" max="8"/>
    <col width="24" customWidth="1" min="9" max="9"/>
    <col width="30" customWidth="1" min="11" max="11"/>
    <col width="14" customWidth="1" min="12" max="12"/>
  </cols>
  <sheetData>
    <row r="1">
      <c r="A1" s="1" t="inlineStr">
        <is>
          <t>PLANT PERFORMANCE · plantperformance.ru</t>
        </is>
      </c>
    </row>
    <row r="2" ht="28" customHeight="1">
      <c r="A2" s="2" t="inlineStr">
        <is>
          <t>Справочники: материалы и поставщики</t>
        </is>
      </c>
    </row>
    <row r="3">
      <c r="A3" s="3" t="inlineStr">
        <is>
          <t>Заполните один раз. Из них работают выпадающие списки журнала и подсказка «что проверять».</t>
        </is>
      </c>
    </row>
    <row r="5">
      <c r="A5" s="15" t="inlineStr">
        <is>
          <t>Код</t>
        </is>
      </c>
      <c r="B5" s="15" t="inlineStr">
        <is>
          <t>Материал / изделие</t>
        </is>
      </c>
      <c r="C5" s="15" t="inlineStr">
        <is>
          <t>Ед.</t>
        </is>
      </c>
      <c r="D5" s="15" t="inlineStr">
        <is>
          <t>Категория A/B/C</t>
        </is>
      </c>
      <c r="E5" s="15" t="inlineStr">
        <is>
          <t>Что проверять на входном контроле</t>
        </is>
      </c>
      <c r="G5" s="15" t="inlineStr">
        <is>
          <t>Поставщик</t>
        </is>
      </c>
      <c r="H5" s="15" t="inlineStr">
        <is>
          <t>ИНН</t>
        </is>
      </c>
      <c r="I5" s="15" t="inlineStr">
        <is>
          <t>Контакт</t>
        </is>
      </c>
      <c r="K5" s="15" t="inlineStr">
        <is>
          <t>Настройка</t>
        </is>
      </c>
      <c r="L5" s="15" t="inlineStr">
        <is>
          <t>Значение</t>
        </is>
      </c>
    </row>
    <row r="6">
      <c r="A6" s="30" t="inlineStr">
        <is>
          <t>М-01</t>
        </is>
      </c>
      <c r="B6" s="31" t="inlineStr">
        <is>
          <t>Листовой прокат, сталь 3 мм</t>
        </is>
      </c>
      <c r="C6" s="30" t="inlineStr">
        <is>
          <t>т</t>
        </is>
      </c>
      <c r="D6" s="30" t="inlineStr">
        <is>
          <t>A</t>
        </is>
      </c>
      <c r="E6" s="32" t="inlineStr">
        <is>
          <t>Сертификат на плавку, толщина в 5 точках, марка стали по сертификату, дефекты поверхности</t>
        </is>
      </c>
      <c r="G6" s="33" t="inlineStr">
        <is>
          <t>ООО «Металл-Сервис»</t>
        </is>
      </c>
      <c r="H6" s="33" t="n"/>
      <c r="I6" s="33" t="n"/>
      <c r="K6" s="34" t="inlineStr">
        <is>
          <t>Максимум дней на карантине</t>
        </is>
      </c>
      <c r="L6" s="35" t="n">
        <v>3</v>
      </c>
    </row>
    <row r="7">
      <c r="A7" s="30" t="inlineStr">
        <is>
          <t>М-02</t>
        </is>
      </c>
      <c r="B7" s="31" t="inlineStr">
        <is>
          <t>Труба профильная 40×40</t>
        </is>
      </c>
      <c r="C7" s="30" t="inlineStr">
        <is>
          <t>т</t>
        </is>
      </c>
      <c r="D7" s="30" t="inlineStr">
        <is>
          <t>B</t>
        </is>
      </c>
      <c r="E7" s="32" t="inlineStr">
        <is>
          <t>Сертификат, геометрия, кривизна, коррозия</t>
        </is>
      </c>
      <c r="G7" s="33" t="inlineStr">
        <is>
          <t>АО «СтальПром»</t>
        </is>
      </c>
      <c r="H7" s="33" t="n"/>
      <c r="I7" s="33" t="n"/>
      <c r="K7" s="34" t="inlineStr">
        <is>
          <t>Порог % брака: рейтинг B</t>
        </is>
      </c>
      <c r="L7" s="36" t="n">
        <v>0.02</v>
      </c>
    </row>
    <row r="8">
      <c r="A8" s="30" t="inlineStr">
        <is>
          <t>М-03</t>
        </is>
      </c>
      <c r="B8" s="31" t="inlineStr">
        <is>
          <t>Электроды / проволока сварочная</t>
        </is>
      </c>
      <c r="C8" s="30" t="inlineStr">
        <is>
          <t>кг</t>
        </is>
      </c>
      <c r="D8" s="30" t="inlineStr">
        <is>
          <t>A</t>
        </is>
      </c>
      <c r="E8" s="32" t="inlineStr">
        <is>
          <t>Сертификат, марка, диаметр, упаковка без влаги, срок годности</t>
        </is>
      </c>
      <c r="G8" s="33" t="inlineStr">
        <is>
          <t>ООО «СварТехСнаб»</t>
        </is>
      </c>
      <c r="H8" s="33" t="n"/>
      <c r="I8" s="33" t="n"/>
      <c r="K8" s="34" t="inlineStr">
        <is>
          <t>Порог % брака: рейтинг C</t>
        </is>
      </c>
      <c r="L8" s="36" t="n">
        <v>0.05</v>
      </c>
    </row>
    <row r="9">
      <c r="A9" s="30" t="inlineStr">
        <is>
          <t>М-04</t>
        </is>
      </c>
      <c r="B9" s="31" t="inlineStr">
        <is>
          <t>Краска порошковая</t>
        </is>
      </c>
      <c r="C9" s="30" t="inlineStr">
        <is>
          <t>кг</t>
        </is>
      </c>
      <c r="D9" s="30" t="inlineStr">
        <is>
          <t>B</t>
        </is>
      </c>
      <c r="E9" s="32" t="inlineStr">
        <is>
          <t>Паспорт партии, срок годности, цвет по эталону, пробное нанесение</t>
        </is>
      </c>
      <c r="G9" s="33" t="inlineStr">
        <is>
          <t>ООО «Колор-Покрытия»</t>
        </is>
      </c>
      <c r="H9" s="33" t="n"/>
      <c r="I9" s="33" t="n"/>
      <c r="K9" s="34" t="inlineStr">
        <is>
          <t>Предприятие</t>
        </is>
      </c>
      <c r="L9" s="35" t="inlineStr">
        <is>
          <t>ООО «Ваш завод»</t>
        </is>
      </c>
    </row>
    <row r="10">
      <c r="A10" s="30" t="inlineStr">
        <is>
          <t>М-05</t>
        </is>
      </c>
      <c r="B10" s="31" t="inlineStr">
        <is>
          <t>Крепёж (болты, гайки)</t>
        </is>
      </c>
      <c r="C10" s="30" t="inlineStr">
        <is>
          <t>шт.</t>
        </is>
      </c>
      <c r="D10" s="30" t="inlineStr">
        <is>
          <t>C</t>
        </is>
      </c>
      <c r="E10" s="32" t="inlineStr">
        <is>
          <t>Маркировка класса прочности, размеры выборочно</t>
        </is>
      </c>
      <c r="G10" s="33" t="inlineStr">
        <is>
          <t>ООО «Крепёж-Опт»</t>
        </is>
      </c>
      <c r="H10" s="33" t="n"/>
      <c r="I10" s="33" t="n"/>
    </row>
    <row r="11">
      <c r="A11" s="30" t="inlineStr">
        <is>
          <t>М-06</t>
        </is>
      </c>
      <c r="B11" s="31" t="inlineStr">
        <is>
          <t>Электродвигатели</t>
        </is>
      </c>
      <c r="C11" s="30" t="inlineStr">
        <is>
          <t>шт.</t>
        </is>
      </c>
      <c r="D11" s="30" t="inlineStr">
        <is>
          <t>A</t>
        </is>
      </c>
      <c r="E11" s="32" t="inlineStr">
        <is>
          <t>Паспорт, декларация ЕАЭС, сопротивление изоляции, отсутствие повреждений</t>
        </is>
      </c>
      <c r="G11" s="33" t="inlineStr">
        <is>
          <t>ООО «ЭлектроМаш»</t>
        </is>
      </c>
      <c r="H11" s="33" t="n"/>
      <c r="I11" s="33" t="n"/>
    </row>
    <row r="12">
      <c r="A12" s="30" t="inlineStr">
        <is>
          <t>М-07</t>
        </is>
      </c>
      <c r="B12" s="31" t="inlineStr">
        <is>
          <t>Подшипники</t>
        </is>
      </c>
      <c r="C12" s="30" t="inlineStr">
        <is>
          <t>шт.</t>
        </is>
      </c>
      <c r="D12" s="30" t="inlineStr">
        <is>
          <t>B</t>
        </is>
      </c>
      <c r="E12" s="32" t="inlineStr">
        <is>
          <t>Маркировка, упаковка, люфт выборочно</t>
        </is>
      </c>
      <c r="G12" s="33" t="inlineStr">
        <is>
          <t>ООО «Подшипник-Центр»</t>
        </is>
      </c>
      <c r="H12" s="33" t="n"/>
      <c r="I12" s="33" t="n"/>
    </row>
    <row r="13">
      <c r="A13" s="30" t="inlineStr">
        <is>
          <t>М-08</t>
        </is>
      </c>
      <c r="B13" s="31" t="inlineStr">
        <is>
          <t>Кабель силовой</t>
        </is>
      </c>
      <c r="C13" s="30" t="inlineStr">
        <is>
          <t>м</t>
        </is>
      </c>
      <c r="D13" s="30" t="inlineStr">
        <is>
          <t>A</t>
        </is>
      </c>
      <c r="E13" s="32" t="inlineStr">
        <is>
          <t>Сертификат, сечение, сопротивление изоляции на образце</t>
        </is>
      </c>
      <c r="G13" s="33" t="inlineStr">
        <is>
          <t>ООО «КабельТорг»</t>
        </is>
      </c>
      <c r="H13" s="33" t="n"/>
      <c r="I13" s="33" t="n"/>
    </row>
    <row r="14">
      <c r="A14" s="30" t="inlineStr">
        <is>
          <t>М-09</t>
        </is>
      </c>
      <c r="B14" s="31" t="inlineStr">
        <is>
          <t>Упаковка (гофрокороб)</t>
        </is>
      </c>
      <c r="C14" s="30" t="inlineStr">
        <is>
          <t>шт.</t>
        </is>
      </c>
      <c r="D14" s="30" t="inlineStr">
        <is>
          <t>C</t>
        </is>
      </c>
      <c r="E14" s="32" t="inlineStr">
        <is>
          <t>Размеры, марка картона, печать</t>
        </is>
      </c>
      <c r="G14" s="33" t="n"/>
      <c r="H14" s="33" t="n"/>
      <c r="I14" s="33" t="n"/>
    </row>
    <row r="15">
      <c r="A15" s="30" t="inlineStr">
        <is>
          <t>М-10</t>
        </is>
      </c>
      <c r="B15" s="31" t="inlineStr">
        <is>
          <t>Резинотехнические изделия</t>
        </is>
      </c>
      <c r="C15" s="30" t="inlineStr">
        <is>
          <t>шт.</t>
        </is>
      </c>
      <c r="D15" s="30" t="inlineStr">
        <is>
          <t>B</t>
        </is>
      </c>
      <c r="E15" s="32" t="inlineStr">
        <is>
          <t>Паспорт, твёрдость, размеры, срок хранения</t>
        </is>
      </c>
      <c r="G15" s="33" t="n"/>
      <c r="H15" s="33" t="n"/>
      <c r="I15" s="33" t="n"/>
    </row>
    <row r="16">
      <c r="A16" s="30" t="n"/>
      <c r="B16" s="31" t="n"/>
      <c r="C16" s="30" t="n"/>
      <c r="D16" s="30" t="n"/>
      <c r="E16" s="32" t="n"/>
      <c r="G16" s="33" t="n"/>
      <c r="H16" s="33" t="n"/>
      <c r="I16" s="33" t="n"/>
    </row>
    <row r="17">
      <c r="A17" s="30" t="n"/>
      <c r="B17" s="31" t="n"/>
      <c r="C17" s="30" t="n"/>
      <c r="D17" s="30" t="n"/>
      <c r="E17" s="32" t="n"/>
      <c r="G17" s="33" t="n"/>
      <c r="H17" s="33" t="n"/>
      <c r="I17" s="33" t="n"/>
    </row>
    <row r="18">
      <c r="A18" s="30" t="n"/>
      <c r="B18" s="31" t="n"/>
      <c r="C18" s="30" t="n"/>
      <c r="D18" s="30" t="n"/>
      <c r="E18" s="32" t="n"/>
      <c r="G18" s="33" t="n"/>
      <c r="H18" s="33" t="n"/>
      <c r="I18" s="33" t="n"/>
    </row>
    <row r="19">
      <c r="A19" s="30" t="n"/>
      <c r="B19" s="31" t="n"/>
      <c r="C19" s="30" t="n"/>
      <c r="D19" s="30" t="n"/>
      <c r="E19" s="32" t="n"/>
      <c r="G19" s="33" t="n"/>
      <c r="H19" s="33" t="n"/>
      <c r="I19" s="33" t="n"/>
    </row>
    <row r="20">
      <c r="A20" s="30" t="n"/>
      <c r="B20" s="31" t="n"/>
      <c r="C20" s="30" t="n"/>
      <c r="D20" s="30" t="n"/>
      <c r="E20" s="32" t="n"/>
      <c r="G20" s="33" t="n"/>
      <c r="H20" s="33" t="n"/>
      <c r="I20" s="33" t="n"/>
    </row>
    <row r="21">
      <c r="A21" s="30" t="n"/>
      <c r="B21" s="31" t="n"/>
      <c r="C21" s="30" t="n"/>
      <c r="D21" s="30" t="n"/>
      <c r="E21" s="32" t="n"/>
      <c r="G21" s="33" t="n"/>
      <c r="H21" s="33" t="n"/>
      <c r="I21" s="33" t="n"/>
    </row>
    <row r="22">
      <c r="A22" s="30" t="n"/>
      <c r="B22" s="31" t="n"/>
      <c r="C22" s="30" t="n"/>
      <c r="D22" s="30" t="n"/>
      <c r="E22" s="32" t="n"/>
      <c r="G22" s="33" t="n"/>
      <c r="H22" s="33" t="n"/>
      <c r="I22" s="33" t="n"/>
    </row>
    <row r="23">
      <c r="A23" s="30" t="n"/>
      <c r="B23" s="31" t="n"/>
      <c r="C23" s="30" t="n"/>
      <c r="D23" s="30" t="n"/>
      <c r="E23" s="32" t="n"/>
      <c r="G23" s="33" t="n"/>
      <c r="H23" s="33" t="n"/>
      <c r="I23" s="33" t="n"/>
    </row>
    <row r="24">
      <c r="A24" s="30" t="n"/>
      <c r="B24" s="31" t="n"/>
      <c r="C24" s="30" t="n"/>
      <c r="D24" s="30" t="n"/>
      <c r="E24" s="32" t="n"/>
      <c r="G24" s="33" t="n"/>
      <c r="H24" s="33" t="n"/>
      <c r="I24" s="33" t="n"/>
    </row>
    <row r="25">
      <c r="A25" s="30" t="n"/>
      <c r="B25" s="31" t="n"/>
      <c r="C25" s="30" t="n"/>
      <c r="D25" s="30" t="n"/>
      <c r="E25" s="32" t="n"/>
      <c r="G25" s="33" t="n"/>
      <c r="H25" s="33" t="n"/>
      <c r="I25" s="33" t="n"/>
    </row>
    <row r="26">
      <c r="A26" s="30" t="n"/>
      <c r="B26" s="31" t="n"/>
      <c r="C26" s="30" t="n"/>
      <c r="D26" s="30" t="n"/>
      <c r="E26" s="32" t="n"/>
      <c r="G26" s="33" t="n"/>
      <c r="H26" s="33" t="n"/>
      <c r="I26" s="33" t="n"/>
    </row>
    <row r="27">
      <c r="A27" s="30" t="n"/>
      <c r="B27" s="31" t="n"/>
      <c r="C27" s="30" t="n"/>
      <c r="D27" s="30" t="n"/>
      <c r="E27" s="32" t="n"/>
      <c r="G27" s="33" t="n"/>
      <c r="H27" s="33" t="n"/>
      <c r="I27" s="33" t="n"/>
    </row>
    <row r="28">
      <c r="A28" s="30" t="n"/>
      <c r="B28" s="31" t="n"/>
      <c r="C28" s="30" t="n"/>
      <c r="D28" s="30" t="n"/>
      <c r="E28" s="32" t="n"/>
      <c r="G28" s="33" t="n"/>
      <c r="H28" s="33" t="n"/>
      <c r="I28" s="33" t="n"/>
    </row>
    <row r="29">
      <c r="A29" s="30" t="n"/>
      <c r="B29" s="31" t="n"/>
      <c r="C29" s="30" t="n"/>
      <c r="D29" s="30" t="n"/>
      <c r="E29" s="32" t="n"/>
      <c r="G29" s="33" t="n"/>
      <c r="H29" s="33" t="n"/>
      <c r="I29" s="33" t="n"/>
    </row>
    <row r="30">
      <c r="A30" s="30" t="n"/>
      <c r="B30" s="31" t="n"/>
      <c r="C30" s="30" t="n"/>
      <c r="D30" s="30" t="n"/>
      <c r="E30" s="32" t="n"/>
      <c r="G30" s="33" t="n"/>
      <c r="H30" s="33" t="n"/>
      <c r="I30" s="33" t="n"/>
    </row>
    <row r="31">
      <c r="A31" s="30" t="n"/>
      <c r="B31" s="31" t="n"/>
      <c r="C31" s="30" t="n"/>
      <c r="D31" s="30" t="n"/>
      <c r="E31" s="32" t="n"/>
      <c r="G31" s="33" t="n"/>
      <c r="H31" s="33" t="n"/>
      <c r="I31" s="33" t="n"/>
    </row>
    <row r="32">
      <c r="A32" s="30" t="n"/>
      <c r="B32" s="31" t="n"/>
      <c r="C32" s="30" t="n"/>
      <c r="D32" s="30" t="n"/>
      <c r="E32" s="32" t="n"/>
      <c r="G32" s="33" t="n"/>
      <c r="H32" s="33" t="n"/>
      <c r="I32" s="33" t="n"/>
    </row>
    <row r="33">
      <c r="A33" s="30" t="n"/>
      <c r="B33" s="31" t="n"/>
      <c r="C33" s="30" t="n"/>
      <c r="D33" s="30" t="n"/>
      <c r="E33" s="32" t="n"/>
      <c r="G33" s="33" t="n"/>
      <c r="H33" s="33" t="n"/>
      <c r="I33" s="33" t="n"/>
    </row>
    <row r="34">
      <c r="A34" s="30" t="n"/>
      <c r="B34" s="31" t="n"/>
      <c r="C34" s="30" t="n"/>
      <c r="D34" s="30" t="n"/>
      <c r="E34" s="32" t="n"/>
      <c r="G34" s="33" t="n"/>
      <c r="H34" s="33" t="n"/>
      <c r="I34" s="33" t="n"/>
    </row>
    <row r="35">
      <c r="A35" s="30" t="n"/>
      <c r="B35" s="31" t="n"/>
      <c r="C35" s="30" t="n"/>
      <c r="D35" s="30" t="n"/>
      <c r="E35" s="32" t="n"/>
      <c r="G35" s="33" t="n"/>
      <c r="H35" s="33" t="n"/>
      <c r="I35" s="33" t="n"/>
    </row>
    <row r="36">
      <c r="A36" s="30" t="n"/>
      <c r="B36" s="31" t="n"/>
      <c r="C36" s="30" t="n"/>
      <c r="D36" s="30" t="n"/>
      <c r="E36" s="32" t="n"/>
    </row>
    <row r="37">
      <c r="A37" s="30" t="n"/>
      <c r="B37" s="31" t="n"/>
      <c r="C37" s="30" t="n"/>
      <c r="D37" s="30" t="n"/>
      <c r="E37" s="32" t="n"/>
    </row>
    <row r="38">
      <c r="A38" s="30" t="n"/>
      <c r="B38" s="31" t="n"/>
      <c r="C38" s="30" t="n"/>
      <c r="D38" s="30" t="n"/>
      <c r="E38" s="32" t="n"/>
    </row>
    <row r="39">
      <c r="A39" s="30" t="n"/>
      <c r="B39" s="31" t="n"/>
      <c r="C39" s="30" t="n"/>
      <c r="D39" s="30" t="n"/>
      <c r="E39" s="32" t="n"/>
    </row>
    <row r="40">
      <c r="A40" s="30" t="n"/>
      <c r="B40" s="31" t="n"/>
      <c r="C40" s="30" t="n"/>
      <c r="D40" s="30" t="n"/>
      <c r="E40" s="32" t="n"/>
    </row>
    <row r="41">
      <c r="A41" s="30" t="n"/>
      <c r="B41" s="31" t="n"/>
      <c r="C41" s="30" t="n"/>
      <c r="D41" s="30" t="n"/>
      <c r="E41" s="32" t="n"/>
    </row>
    <row r="42">
      <c r="A42" s="30" t="n"/>
      <c r="B42" s="31" t="n"/>
      <c r="C42" s="30" t="n"/>
      <c r="D42" s="30" t="n"/>
      <c r="E42" s="32" t="n"/>
    </row>
    <row r="43">
      <c r="A43" s="30" t="n"/>
      <c r="B43" s="31" t="n"/>
      <c r="C43" s="30" t="n"/>
      <c r="D43" s="30" t="n"/>
      <c r="E43" s="32" t="n"/>
    </row>
    <row r="44">
      <c r="A44" s="30" t="n"/>
      <c r="B44" s="31" t="n"/>
      <c r="C44" s="30" t="n"/>
      <c r="D44" s="30" t="n"/>
      <c r="E44" s="32" t="n"/>
    </row>
    <row r="45">
      <c r="A45" s="30" t="n"/>
      <c r="B45" s="31" t="n"/>
      <c r="C45" s="30" t="n"/>
      <c r="D45" s="30" t="n"/>
      <c r="E45" s="32" t="n"/>
    </row>
    <row r="47">
      <c r="A47" s="14" t="inlineStr">
        <is>
          <t>Категория: A — влияет на безопасность и ключевые свойства продукции (каждая партия, испытания); B — выборочно; C — по документам поставщика.</t>
        </is>
      </c>
    </row>
  </sheetData>
  <dataValidations count="1">
    <dataValidation sqref="D6:D45" showDropDown="0" showInputMessage="0" showErrorMessage="0" allowBlank="1" type="list">
      <formula1>"A,B,C"</formula1>
    </dataValidation>
  </dataValidations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L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26" customWidth="1" min="3" max="3"/>
    <col width="18" customWidth="1" min="4" max="4"/>
    <col width="16" customWidth="1" min="5" max="5"/>
    <col width="12" customWidth="1" min="6" max="6"/>
    <col width="22" customWidth="1" min="7" max="7"/>
    <col width="20" customWidth="1" min="8" max="8"/>
    <col width="14" customWidth="1" min="9" max="9"/>
    <col width="8" customWidth="1" min="10" max="10"/>
    <col width="16" customWidth="1" min="11" max="11"/>
    <col width="12" customWidth="1" min="12" max="12"/>
  </cols>
  <sheetData>
    <row r="1">
      <c r="A1" s="37" t="inlineStr">
        <is>
          <t>ЖУРНАЛ ВХОДНОГО КОНТРОЛЯ</t>
        </is>
      </c>
    </row>
    <row r="2">
      <c r="A2" s="38">
        <f>Справочники!L9&amp;"     ·     Начат: «___» ________ 20__ г.     Окончен: «___» ________ 20__ г."</f>
        <v/>
      </c>
    </row>
    <row r="4" ht="44" customHeight="1">
      <c r="A4" s="15" t="inlineStr">
        <is>
          <t>№ п/п</t>
        </is>
      </c>
      <c r="B4" s="15" t="inlineStr">
        <is>
          <t>Дата поступления</t>
        </is>
      </c>
      <c r="C4" s="15" t="inlineStr">
        <is>
          <t>Наименование материала, изделия</t>
        </is>
      </c>
      <c r="D4" s="15" t="inlineStr">
        <is>
          <t>Поставщик</t>
        </is>
      </c>
      <c r="E4" s="15" t="inlineStr">
        <is>
          <t>Документ о качестве: №, дата</t>
        </is>
      </c>
      <c r="F4" s="15" t="inlineStr">
        <is>
          <t>№ партии, кол-во</t>
        </is>
      </c>
      <c r="G4" s="15" t="inlineStr">
        <is>
          <t>Контролируемые параметры</t>
        </is>
      </c>
      <c r="H4" s="15" t="inlineStr">
        <is>
          <t>Результат контроля</t>
        </is>
      </c>
      <c r="I4" s="15" t="inlineStr">
        <is>
          <t>Решение: принято / забраковано</t>
        </is>
      </c>
      <c r="J4" s="15" t="inlineStr">
        <is>
          <t>Акт, №</t>
        </is>
      </c>
      <c r="K4" s="15" t="inlineStr">
        <is>
          <t>Контролёр: ФИО, подпись</t>
        </is>
      </c>
      <c r="L4" s="15" t="inlineStr">
        <is>
          <t>Кладовщик: подпись</t>
        </is>
      </c>
    </row>
    <row r="5">
      <c r="A5" s="39" t="n">
        <v>1</v>
      </c>
      <c r="B5" s="39" t="n">
        <v>2</v>
      </c>
      <c r="C5" s="39" t="n">
        <v>3</v>
      </c>
      <c r="D5" s="39" t="n">
        <v>4</v>
      </c>
      <c r="E5" s="39" t="n">
        <v>5</v>
      </c>
      <c r="F5" s="39" t="n">
        <v>6</v>
      </c>
      <c r="G5" s="39" t="n">
        <v>7</v>
      </c>
      <c r="H5" s="39" t="n">
        <v>8</v>
      </c>
      <c r="I5" s="39" t="n">
        <v>9</v>
      </c>
      <c r="J5" s="39" t="n">
        <v>10</v>
      </c>
      <c r="K5" s="39" t="n">
        <v>11</v>
      </c>
      <c r="L5" s="39" t="n">
        <v>12</v>
      </c>
    </row>
    <row r="6" ht="30" customHeight="1">
      <c r="A6" s="40" t="n"/>
      <c r="B6" s="40" t="n"/>
      <c r="C6" s="40" t="n"/>
      <c r="D6" s="40" t="n"/>
      <c r="E6" s="40" t="n"/>
      <c r="F6" s="40" t="n"/>
      <c r="G6" s="40" t="n"/>
      <c r="H6" s="40" t="n"/>
      <c r="I6" s="40" t="n"/>
      <c r="J6" s="40" t="n"/>
      <c r="K6" s="40" t="n"/>
      <c r="L6" s="40" t="n"/>
    </row>
    <row r="7" ht="30" customHeight="1">
      <c r="A7" s="40" t="n"/>
      <c r="B7" s="40" t="n"/>
      <c r="C7" s="40" t="n"/>
      <c r="D7" s="40" t="n"/>
      <c r="E7" s="40" t="n"/>
      <c r="F7" s="40" t="n"/>
      <c r="G7" s="40" t="n"/>
      <c r="H7" s="40" t="n"/>
      <c r="I7" s="40" t="n"/>
      <c r="J7" s="40" t="n"/>
      <c r="K7" s="40" t="n"/>
      <c r="L7" s="40" t="n"/>
    </row>
    <row r="8" ht="30" customHeight="1">
      <c r="A8" s="40" t="n"/>
      <c r="B8" s="40" t="n"/>
      <c r="C8" s="40" t="n"/>
      <c r="D8" s="40" t="n"/>
      <c r="E8" s="40" t="n"/>
      <c r="F8" s="40" t="n"/>
      <c r="G8" s="40" t="n"/>
      <c r="H8" s="40" t="n"/>
      <c r="I8" s="40" t="n"/>
      <c r="J8" s="40" t="n"/>
      <c r="K8" s="40" t="n"/>
      <c r="L8" s="40" t="n"/>
    </row>
    <row r="9" ht="30" customHeight="1">
      <c r="A9" s="40" t="n"/>
      <c r="B9" s="40" t="n"/>
      <c r="C9" s="40" t="n"/>
      <c r="D9" s="40" t="n"/>
      <c r="E9" s="40" t="n"/>
      <c r="F9" s="40" t="n"/>
      <c r="G9" s="40" t="n"/>
      <c r="H9" s="40" t="n"/>
      <c r="I9" s="40" t="n"/>
      <c r="J9" s="40" t="n"/>
      <c r="K9" s="40" t="n"/>
      <c r="L9" s="40" t="n"/>
    </row>
    <row r="10" ht="30" customHeight="1">
      <c r="A10" s="40" t="n"/>
      <c r="B10" s="40" t="n"/>
      <c r="C10" s="40" t="n"/>
      <c r="D10" s="40" t="n"/>
      <c r="E10" s="40" t="n"/>
      <c r="F10" s="40" t="n"/>
      <c r="G10" s="40" t="n"/>
      <c r="H10" s="40" t="n"/>
      <c r="I10" s="40" t="n"/>
      <c r="J10" s="40" t="n"/>
      <c r="K10" s="40" t="n"/>
      <c r="L10" s="40" t="n"/>
    </row>
    <row r="11" ht="30" customHeight="1">
      <c r="A11" s="40" t="n"/>
      <c r="B11" s="40" t="n"/>
      <c r="C11" s="40" t="n"/>
      <c r="D11" s="40" t="n"/>
      <c r="E11" s="40" t="n"/>
      <c r="F11" s="40" t="n"/>
      <c r="G11" s="40" t="n"/>
      <c r="H11" s="40" t="n"/>
      <c r="I11" s="40" t="n"/>
      <c r="J11" s="40" t="n"/>
      <c r="K11" s="40" t="n"/>
      <c r="L11" s="40" t="n"/>
    </row>
    <row r="12" ht="30" customHeight="1">
      <c r="A12" s="40" t="n"/>
      <c r="B12" s="40" t="n"/>
      <c r="C12" s="40" t="n"/>
      <c r="D12" s="40" t="n"/>
      <c r="E12" s="40" t="n"/>
      <c r="F12" s="40" t="n"/>
      <c r="G12" s="40" t="n"/>
      <c r="H12" s="40" t="n"/>
      <c r="I12" s="40" t="n"/>
      <c r="J12" s="40" t="n"/>
      <c r="K12" s="40" t="n"/>
      <c r="L12" s="40" t="n"/>
    </row>
    <row r="13" ht="30" customHeight="1">
      <c r="A13" s="40" t="n"/>
      <c r="B13" s="40" t="n"/>
      <c r="C13" s="40" t="n"/>
      <c r="D13" s="40" t="n"/>
      <c r="E13" s="40" t="n"/>
      <c r="F13" s="40" t="n"/>
      <c r="G13" s="40" t="n"/>
      <c r="H13" s="40" t="n"/>
      <c r="I13" s="40" t="n"/>
      <c r="J13" s="40" t="n"/>
      <c r="K13" s="40" t="n"/>
      <c r="L13" s="40" t="n"/>
    </row>
    <row r="14" ht="30" customHeight="1">
      <c r="A14" s="40" t="n"/>
      <c r="B14" s="40" t="n"/>
      <c r="C14" s="40" t="n"/>
      <c r="D14" s="40" t="n"/>
      <c r="E14" s="40" t="n"/>
      <c r="F14" s="40" t="n"/>
      <c r="G14" s="40" t="n"/>
      <c r="H14" s="40" t="n"/>
      <c r="I14" s="40" t="n"/>
      <c r="J14" s="40" t="n"/>
      <c r="K14" s="40" t="n"/>
      <c r="L14" s="40" t="n"/>
    </row>
    <row r="15" ht="30" customHeight="1">
      <c r="A15" s="40" t="n"/>
      <c r="B15" s="40" t="n"/>
      <c r="C15" s="40" t="n"/>
      <c r="D15" s="40" t="n"/>
      <c r="E15" s="40" t="n"/>
      <c r="F15" s="40" t="n"/>
      <c r="G15" s="40" t="n"/>
      <c r="H15" s="40" t="n"/>
      <c r="I15" s="40" t="n"/>
      <c r="J15" s="40" t="n"/>
      <c r="K15" s="40" t="n"/>
      <c r="L15" s="40" t="n"/>
    </row>
    <row r="16" ht="30" customHeight="1">
      <c r="A16" s="40" t="n"/>
      <c r="B16" s="40" t="n"/>
      <c r="C16" s="40" t="n"/>
      <c r="D16" s="40" t="n"/>
      <c r="E16" s="40" t="n"/>
      <c r="F16" s="40" t="n"/>
      <c r="G16" s="40" t="n"/>
      <c r="H16" s="40" t="n"/>
      <c r="I16" s="40" t="n"/>
      <c r="J16" s="40" t="n"/>
      <c r="K16" s="40" t="n"/>
      <c r="L16" s="40" t="n"/>
    </row>
    <row r="17" ht="30" customHeight="1">
      <c r="A17" s="40" t="n"/>
      <c r="B17" s="40" t="n"/>
      <c r="C17" s="40" t="n"/>
      <c r="D17" s="40" t="n"/>
      <c r="E17" s="40" t="n"/>
      <c r="F17" s="40" t="n"/>
      <c r="G17" s="40" t="n"/>
      <c r="H17" s="40" t="n"/>
      <c r="I17" s="40" t="n"/>
      <c r="J17" s="40" t="n"/>
      <c r="K17" s="40" t="n"/>
      <c r="L17" s="40" t="n"/>
    </row>
    <row r="18" ht="30" customHeight="1">
      <c r="A18" s="40" t="n"/>
      <c r="B18" s="40" t="n"/>
      <c r="C18" s="40" t="n"/>
      <c r="D18" s="40" t="n"/>
      <c r="E18" s="40" t="n"/>
      <c r="F18" s="40" t="n"/>
      <c r="G18" s="40" t="n"/>
      <c r="H18" s="40" t="n"/>
      <c r="I18" s="40" t="n"/>
      <c r="J18" s="40" t="n"/>
      <c r="K18" s="40" t="n"/>
      <c r="L18" s="40" t="n"/>
    </row>
    <row r="19" ht="30" customHeight="1">
      <c r="A19" s="40" t="n"/>
      <c r="B19" s="40" t="n"/>
      <c r="C19" s="40" t="n"/>
      <c r="D19" s="40" t="n"/>
      <c r="E19" s="40" t="n"/>
      <c r="F19" s="40" t="n"/>
      <c r="G19" s="40" t="n"/>
      <c r="H19" s="40" t="n"/>
      <c r="I19" s="40" t="n"/>
      <c r="J19" s="40" t="n"/>
      <c r="K19" s="40" t="n"/>
      <c r="L19" s="40" t="n"/>
    </row>
    <row r="20" ht="30" customHeight="1">
      <c r="A20" s="40" t="n"/>
      <c r="B20" s="40" t="n"/>
      <c r="C20" s="40" t="n"/>
      <c r="D20" s="40" t="n"/>
      <c r="E20" s="40" t="n"/>
      <c r="F20" s="40" t="n"/>
      <c r="G20" s="40" t="n"/>
      <c r="H20" s="40" t="n"/>
      <c r="I20" s="40" t="n"/>
      <c r="J20" s="40" t="n"/>
      <c r="K20" s="40" t="n"/>
      <c r="L20" s="40" t="n"/>
    </row>
    <row r="21" ht="30" customHeight="1">
      <c r="A21" s="40" t="n"/>
      <c r="B21" s="40" t="n"/>
      <c r="C21" s="40" t="n"/>
      <c r="D21" s="40" t="n"/>
      <c r="E21" s="40" t="n"/>
      <c r="F21" s="40" t="n"/>
      <c r="G21" s="40" t="n"/>
      <c r="H21" s="40" t="n"/>
      <c r="I21" s="40" t="n"/>
      <c r="J21" s="40" t="n"/>
      <c r="K21" s="40" t="n"/>
      <c r="L21" s="40" t="n"/>
    </row>
    <row r="22" ht="30" customHeight="1">
      <c r="A22" s="40" t="n"/>
      <c r="B22" s="40" t="n"/>
      <c r="C22" s="40" t="n"/>
      <c r="D22" s="40" t="n"/>
      <c r="E22" s="40" t="n"/>
      <c r="F22" s="40" t="n"/>
      <c r="G22" s="40" t="n"/>
      <c r="H22" s="40" t="n"/>
      <c r="I22" s="40" t="n"/>
      <c r="J22" s="40" t="n"/>
      <c r="K22" s="40" t="n"/>
      <c r="L22" s="40" t="n"/>
    </row>
    <row r="23" ht="30" customHeight="1">
      <c r="A23" s="40" t="n"/>
      <c r="B23" s="40" t="n"/>
      <c r="C23" s="40" t="n"/>
      <c r="D23" s="40" t="n"/>
      <c r="E23" s="40" t="n"/>
      <c r="F23" s="40" t="n"/>
      <c r="G23" s="40" t="n"/>
      <c r="H23" s="40" t="n"/>
      <c r="I23" s="40" t="n"/>
      <c r="J23" s="40" t="n"/>
      <c r="K23" s="40" t="n"/>
      <c r="L23" s="40" t="n"/>
    </row>
    <row r="24" ht="30" customHeight="1">
      <c r="A24" s="40" t="n"/>
      <c r="B24" s="40" t="n"/>
      <c r="C24" s="40" t="n"/>
      <c r="D24" s="40" t="n"/>
      <c r="E24" s="40" t="n"/>
      <c r="F24" s="40" t="n"/>
      <c r="G24" s="40" t="n"/>
      <c r="H24" s="40" t="n"/>
      <c r="I24" s="40" t="n"/>
      <c r="J24" s="40" t="n"/>
      <c r="K24" s="40" t="n"/>
      <c r="L24" s="40" t="n"/>
    </row>
    <row r="25" ht="30" customHeight="1">
      <c r="A25" s="40" t="n"/>
      <c r="B25" s="40" t="n"/>
      <c r="C25" s="40" t="n"/>
      <c r="D25" s="40" t="n"/>
      <c r="E25" s="40" t="n"/>
      <c r="F25" s="40" t="n"/>
      <c r="G25" s="40" t="n"/>
      <c r="H25" s="40" t="n"/>
      <c r="I25" s="40" t="n"/>
      <c r="J25" s="40" t="n"/>
      <c r="K25" s="40" t="n"/>
      <c r="L25" s="40" t="n"/>
    </row>
    <row r="27">
      <c r="A27" s="41" t="inlineStr">
        <is>
          <t>Форма по ГОСТ 24297-2013 «Верификация закупленной продукции». Источник: Plant Performance · plantperformance.ru</t>
        </is>
      </c>
    </row>
  </sheetData>
  <mergeCells count="2">
    <mergeCell ref="A2:L2"/>
    <mergeCell ref="A1:L1"/>
  </mergeCells>
  <pageMargins left="0.75" right="0.75" top="1" bottom="1" header="0.5" footer="0.5"/>
  <pageSetup orientation="landscape" paperSize="9" fitToHeight="1" fitToWidth="1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37" t="inlineStr">
        <is>
          <t>АКТ № ____ о несоответствии закупленной продукции</t>
        </is>
      </c>
    </row>
    <row r="2">
      <c r="A2" s="42" t="inlineStr">
        <is>
          <t>«___» ____________ 20__ г.</t>
        </is>
      </c>
    </row>
    <row r="4" ht="26" customHeight="1">
      <c r="A4" s="43" t="inlineStr">
        <is>
          <t>Покупатель</t>
        </is>
      </c>
      <c r="B4" s="40">
        <f>Справочники!L9</f>
        <v/>
      </c>
    </row>
    <row r="5" ht="26" customHeight="1">
      <c r="A5" s="43" t="inlineStr">
        <is>
          <t>Поставщик</t>
        </is>
      </c>
      <c r="B5" s="40" t="n"/>
    </row>
    <row r="6" ht="26" customHeight="1">
      <c r="A6" s="43" t="inlineStr">
        <is>
          <t>Договор поставки №, дата</t>
        </is>
      </c>
      <c r="B6" s="40" t="n"/>
    </row>
    <row r="7" ht="26" customHeight="1">
      <c r="A7" s="43" t="inlineStr">
        <is>
          <t>Материал / изделие</t>
        </is>
      </c>
      <c r="B7" s="40" t="n"/>
    </row>
    <row r="8" ht="26" customHeight="1">
      <c r="A8" s="43" t="inlineStr">
        <is>
          <t>Документ о качестве (№, дата)</t>
        </is>
      </c>
      <c r="B8" s="40" t="n"/>
    </row>
    <row r="9" ht="26" customHeight="1">
      <c r="A9" s="43" t="inlineStr">
        <is>
          <t>№ партии, количество поставленное</t>
        </is>
      </c>
      <c r="B9" s="40" t="n"/>
    </row>
    <row r="10" ht="26" customHeight="1">
      <c r="A10" s="43" t="inlineStr">
        <is>
          <t>Количество проверенное</t>
        </is>
      </c>
      <c r="B10" s="40" t="n"/>
    </row>
    <row r="11" ht="26" customHeight="1">
      <c r="A11" s="43" t="inlineStr">
        <is>
          <t>Количество несоответствующее</t>
        </is>
      </c>
      <c r="B11" s="40" t="n"/>
    </row>
    <row r="12" ht="26" customHeight="1">
      <c r="A12" s="43" t="inlineStr">
        <is>
          <t>Требование (ГОСТ, ТУ, спецификация, договор)</t>
        </is>
      </c>
      <c r="B12" s="40" t="n"/>
    </row>
    <row r="13" ht="26" customHeight="1">
      <c r="A13" s="43" t="inlineStr">
        <is>
          <t>Фактически обнаружено</t>
        </is>
      </c>
      <c r="B13" s="40" t="n"/>
    </row>
    <row r="14" ht="26" customHeight="1">
      <c r="A14" s="43" t="inlineStr">
        <is>
          <t>Метод контроля, средство измерений</t>
        </is>
      </c>
      <c r="B14" s="40" t="n"/>
    </row>
    <row r="15" ht="26" customHeight="1">
      <c r="A15" s="43" t="inlineStr">
        <is>
          <t>Решение: возврат / замена / доработка / уценка</t>
        </is>
      </c>
      <c r="B15" s="40" t="n"/>
    </row>
    <row r="16" ht="26" customHeight="1">
      <c r="A16" s="43" t="inlineStr">
        <is>
          <t>Срок ответа поставщика</t>
        </is>
      </c>
      <c r="B16" s="40" t="n"/>
    </row>
    <row r="17" ht="26" customHeight="1">
      <c r="A17" s="43" t="inlineStr">
        <is>
          <t>Приложения: фото, протоколы</t>
        </is>
      </c>
      <c r="B17" s="40" t="n"/>
    </row>
    <row r="20">
      <c r="A20" s="13" t="inlineStr">
        <is>
          <t>Контролёр ОТК _______________ / ____________ /</t>
        </is>
      </c>
    </row>
    <row r="21">
      <c r="A21" s="13" t="inlineStr">
        <is>
          <t>Кладовщик _______________ / ____________ /</t>
        </is>
      </c>
    </row>
    <row r="22">
      <c r="A22" s="13" t="inlineStr">
        <is>
          <t>Представитель поставщика _______________ / ____________ /</t>
        </is>
      </c>
    </row>
    <row r="24">
      <c r="A24" s="41" t="inlineStr">
        <is>
          <t>Источник: Plant Performance · plantperformance.ru</t>
        </is>
      </c>
    </row>
  </sheetData>
  <mergeCells count="2">
    <mergeCell ref="A2:B2"/>
    <mergeCell ref="A1:B1"/>
  </mergeCells>
  <pageMargins left="0.75" right="0.75" top="1" bottom="1" header="0.5" footer="0.5"/>
  <pageSetup fitToHeight="1" fitToWidth="1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A6A6A6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80" customWidth="1" min="2" max="2"/>
  </cols>
  <sheetData>
    <row r="1">
      <c r="A1" s="1" t="inlineStr">
        <is>
          <t>PLANT PERFORMANCE · plantperformance.ru</t>
        </is>
      </c>
    </row>
    <row r="2" ht="28" customHeight="1">
      <c r="A2" s="2" t="inlineStr">
        <is>
          <t>Что есть в полной системе качества</t>
        </is>
      </c>
    </row>
    <row r="3">
      <c r="A3" s="3" t="inlineStr">
        <is>
          <t>Этот файл — часть системы документов завода Plant Performance</t>
        </is>
      </c>
    </row>
    <row r="5">
      <c r="A5" s="15" t="inlineStr">
        <is>
          <t>Что</t>
        </is>
      </c>
      <c r="B5" s="15" t="inlineStr">
        <is>
          <t>Зачем</t>
        </is>
      </c>
    </row>
    <row r="6">
      <c r="A6" s="24" t="inlineStr">
        <is>
          <t>Процедура контроля продукции и испытаний</t>
        </is>
      </c>
      <c r="B6" s="29" t="inlineStr">
        <is>
          <t>Входной, операционный и выходной контроль, действия при несоответствиях</t>
        </is>
      </c>
    </row>
    <row r="7">
      <c r="A7" s="24" t="inlineStr">
        <is>
          <t>Инструкции входного контроля по материалам</t>
        </is>
      </c>
      <c r="B7" s="29" t="inlineStr">
        <is>
          <t>Что и как проверять по каждой категории, объём выборки</t>
        </is>
      </c>
    </row>
    <row r="8">
      <c r="A8" s="24" t="inlineStr">
        <is>
          <t>Процедура одобрения материалов и поставщиков</t>
        </is>
      </c>
      <c r="B8" s="29" t="inlineStr">
        <is>
          <t>Уровни одобрения, пакет документов, пробная партия</t>
        </is>
      </c>
    </row>
    <row r="9">
      <c r="A9" s="24" t="inlineStr">
        <is>
          <t>Соглашение о качестве с поставщиком</t>
        </is>
      </c>
      <c r="B9" s="29" t="inlineStr">
        <is>
          <t>Требования, ответственность, возмещение затрат на брак</t>
        </is>
      </c>
    </row>
    <row r="10">
      <c r="A10" s="24" t="inlineStr">
        <is>
          <t>Регламент 8D и реестр рекламаций с CAPA</t>
        </is>
      </c>
      <c r="B10" s="29" t="inlineStr">
        <is>
          <t>Разбор причин и действия, которые закрываются в срок</t>
        </is>
      </c>
    </row>
    <row r="11">
      <c r="A11" s="24" t="inlineStr">
        <is>
          <t>План контроля и FMEA</t>
        </is>
      </c>
      <c r="B11" s="29" t="inlineStr">
        <is>
          <t>Что контролировать на каждой операции и почему</t>
        </is>
      </c>
    </row>
    <row r="12">
      <c r="A12" s="24" t="inlineStr">
        <is>
          <t>Ещё ~110 документов завода</t>
        </is>
      </c>
      <c r="B12" s="29" t="inlineStr">
        <is>
          <t>Регламенты, бюджет, себестоимость, ТОиР, охрана труда, план ввода</t>
        </is>
      </c>
    </row>
    <row r="14">
      <c r="A14" s="44" t="inlineStr">
        <is>
          <t>Подробнее: plantperformance.ru  ·  Telegram: t.me/plantperformance  ·  info@plantperformance.ru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Plant Performance · plantperformance.ru</Company>
  <Manager>Plant Performance</Manager>
  <HyperlinkBase>https://plantperformance.ru/</HyperlinkBase>
</Properties>
</file>

<file path=docProps/core.xml><?xml version="1.0" encoding="utf-8"?>
<cp:coreProperties xmlns:cp="http://schemas.openxmlformats.org/package/2006/metadata/core-properties">
  <dc:creator xmlns:dc="http://purl.org/dc/elements/1.1/">Plant Performance (plantperformance.ru)</dc:creator>
  <dc:title xmlns:dc="http://purl.org/dc/elements/1.1/">Журнал входного контроля материалов — Excel</dc:title>
  <dc:description xmlns:dc="http://purl.org/dc/elements/1.1/">Бесплатный шаблон от Plant Performance · plantperformance.ru. Полная система документов завода — на сайте.</dc:description>
  <dc:subject xmlns:dc="http://purl.org/dc/elements/1.1/">Журнал входного контроля и рейтинг поставщиков</dc:subject>
  <dcterms:created xmlns:dcterms="http://purl.org/dc/terms/" xmlns:xsi="http://www.w3.org/2001/XMLSchema-instance" xsi:type="dcterms:W3CDTF">2026-10-28T19:15:41Z</dcterms:created>
  <dcterms:modified xmlns:dcterms="http://purl.org/dc/terms/" xmlns:xsi="http://www.w3.org/2001/XMLSchema-instance" xsi:type="dcterms:W3CDTF">2026-10-28T19:15:41Z</dcterms:modified>
  <cp:lastModifiedBy>Plant Performance</cp:lastModifiedBy>
  <cp:category>Plant Performance · plantperformance.ru</cp:category>
  <cp:keywords>журнал входного контроля, журнал входного контроля материалов, образец, ГОСТ 24297, Plant Performance</cp:keywords>
</cp:coreProperties>
</file>